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hurst2\Desktop\Draft Design JAC 788-0.90\"/>
    </mc:Choice>
  </mc:AlternateContent>
  <xr:revisionPtr revIDLastSave="0" documentId="13_ncr:1_{4731AE8D-6D2E-45F6-8727-44270916DAC9}" xr6:coauthVersionLast="47" xr6:coauthVersionMax="47" xr10:uidLastSave="{00000000-0000-0000-0000-000000000000}"/>
  <bookViews>
    <workbookView xWindow="-108" yWindow="-108" windowWidth="23256" windowHeight="12456" activeTab="1" xr2:uid="{0226281C-18F4-471C-B6B1-4B1FB4CAAC3D}"/>
  </bookViews>
  <sheets>
    <sheet name="Calculations - No Cohesion" sheetId="3" r:id="rId1"/>
    <sheet name="Calculations - Cohesion" sheetId="1" r:id="rId2"/>
    <sheet name="Design Notes" sheetId="2" r:id="rId3"/>
    <sheet name="Particle Size Interpolatio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L10" i="4"/>
  <c r="M15" i="1"/>
  <c r="G10" i="4"/>
  <c r="H11" i="4"/>
  <c r="I10" i="4"/>
  <c r="H10" i="4"/>
  <c r="M7" i="1"/>
  <c r="G5" i="4"/>
  <c r="I14" i="1"/>
  <c r="L9" i="4"/>
  <c r="H9" i="4"/>
  <c r="L3" i="4"/>
  <c r="H5" i="4"/>
  <c r="H6" i="4" s="1"/>
  <c r="L5" i="4" s="1"/>
  <c r="I7" i="1" s="1"/>
  <c r="I5" i="4"/>
  <c r="I6" i="1"/>
  <c r="I5" i="1"/>
  <c r="G3" i="4"/>
  <c r="J3" i="4" s="1"/>
  <c r="G7" i="4"/>
  <c r="J7" i="4" s="1"/>
  <c r="G8" i="4"/>
  <c r="J8" i="4" s="1"/>
  <c r="G2" i="4"/>
  <c r="L2" i="4" s="1"/>
  <c r="W3" i="4"/>
  <c r="W4" i="4"/>
  <c r="W5" i="4"/>
  <c r="W6" i="4"/>
  <c r="W2" i="4"/>
  <c r="J2" i="4" l="1"/>
  <c r="Z20" i="3" l="1"/>
  <c r="Y20" i="3"/>
  <c r="S20" i="3"/>
  <c r="AC20" i="3" s="1"/>
  <c r="M20" i="3"/>
  <c r="K20" i="3"/>
  <c r="O20" i="3" s="1"/>
  <c r="D20" i="3"/>
  <c r="C20" i="3"/>
  <c r="E20" i="3" s="1"/>
  <c r="Z19" i="3"/>
  <c r="Y19" i="3"/>
  <c r="S19" i="3"/>
  <c r="AC19" i="3" s="1"/>
  <c r="O19" i="3"/>
  <c r="M19" i="3"/>
  <c r="P19" i="3" s="1"/>
  <c r="D19" i="3"/>
  <c r="C19" i="3"/>
  <c r="E19" i="3" s="1"/>
  <c r="Z18" i="3"/>
  <c r="Y18" i="3"/>
  <c r="S18" i="3"/>
  <c r="AC18" i="3" s="1"/>
  <c r="O18" i="3"/>
  <c r="M18" i="3"/>
  <c r="P18" i="3" s="1"/>
  <c r="D18" i="3"/>
  <c r="C18" i="3"/>
  <c r="E18" i="3" s="1"/>
  <c r="Z17" i="3"/>
  <c r="Y17" i="3"/>
  <c r="S17" i="3"/>
  <c r="AC17" i="3" s="1"/>
  <c r="O17" i="3"/>
  <c r="M17" i="3"/>
  <c r="P17" i="3" s="1"/>
  <c r="D17" i="3"/>
  <c r="C17" i="3"/>
  <c r="E17" i="3" s="1"/>
  <c r="Z16" i="3"/>
  <c r="Y16" i="3"/>
  <c r="W16" i="3"/>
  <c r="S16" i="3"/>
  <c r="AC16" i="3" s="1"/>
  <c r="O16" i="3"/>
  <c r="P16" i="3" s="1"/>
  <c r="D16" i="3"/>
  <c r="S15" i="3"/>
  <c r="AC15" i="3" s="1"/>
  <c r="O15" i="3"/>
  <c r="Z15" i="3"/>
  <c r="D15" i="3"/>
  <c r="C16" i="3" s="1"/>
  <c r="E16" i="3" s="1"/>
  <c r="A15" i="3"/>
  <c r="A16" i="3" s="1"/>
  <c r="A17" i="3" s="1"/>
  <c r="Z14" i="3"/>
  <c r="Y14" i="3"/>
  <c r="W14" i="3"/>
  <c r="S14" i="3"/>
  <c r="AC14" i="3" s="1"/>
  <c r="O14" i="3"/>
  <c r="M14" i="3"/>
  <c r="P14" i="3" s="1"/>
  <c r="D14" i="3"/>
  <c r="C15" i="3" s="1"/>
  <c r="C14" i="3"/>
  <c r="E14" i="3" s="1"/>
  <c r="B14" i="3"/>
  <c r="B15" i="3" s="1"/>
  <c r="B16" i="3" s="1"/>
  <c r="B17" i="3" s="1"/>
  <c r="B18" i="3" s="1"/>
  <c r="B19" i="3" s="1"/>
  <c r="B20" i="3" s="1"/>
  <c r="A14" i="3"/>
  <c r="AA13" i="3"/>
  <c r="Z13" i="3"/>
  <c r="Y13" i="3"/>
  <c r="S13" i="3"/>
  <c r="AC13" i="3" s="1"/>
  <c r="Q13" i="3"/>
  <c r="R13" i="3" s="1"/>
  <c r="AB13" i="3" s="1"/>
  <c r="P13" i="3"/>
  <c r="F13" i="3"/>
  <c r="D13" i="3"/>
  <c r="C13" i="3"/>
  <c r="E13" i="3" s="1"/>
  <c r="F14" i="3" s="1"/>
  <c r="Z12" i="3"/>
  <c r="Y12" i="3"/>
  <c r="S12" i="3"/>
  <c r="T12" i="3" s="1"/>
  <c r="O12" i="3"/>
  <c r="M12" i="3"/>
  <c r="P12" i="3" s="1"/>
  <c r="D12" i="3"/>
  <c r="C12" i="3"/>
  <c r="E12" i="3" s="1"/>
  <c r="Z11" i="3"/>
  <c r="Y11" i="3"/>
  <c r="S11" i="3"/>
  <c r="P11" i="3"/>
  <c r="AA11" i="3" s="1"/>
  <c r="O11" i="3"/>
  <c r="M11" i="3"/>
  <c r="D11" i="3"/>
  <c r="C11" i="3"/>
  <c r="E11" i="3" s="1"/>
  <c r="Z10" i="3"/>
  <c r="Y10" i="3"/>
  <c r="S10" i="3"/>
  <c r="O10" i="3"/>
  <c r="M10" i="3"/>
  <c r="P10" i="3" s="1"/>
  <c r="D10" i="3"/>
  <c r="C10" i="3"/>
  <c r="E10" i="3" s="1"/>
  <c r="Z9" i="3"/>
  <c r="Y9" i="3"/>
  <c r="S9" i="3"/>
  <c r="U9" i="3" s="1"/>
  <c r="O9" i="3"/>
  <c r="P9" i="3" s="1"/>
  <c r="M9" i="3"/>
  <c r="D9" i="3"/>
  <c r="C9" i="3"/>
  <c r="E9" i="3" s="1"/>
  <c r="Z8" i="3"/>
  <c r="Y8" i="3"/>
  <c r="S8" i="3"/>
  <c r="O8" i="3"/>
  <c r="M8" i="3"/>
  <c r="M7" i="3" s="1"/>
  <c r="P7" i="3" s="1"/>
  <c r="D8" i="3"/>
  <c r="C8" i="3"/>
  <c r="E8" i="3" s="1"/>
  <c r="Z7" i="3"/>
  <c r="Y7" i="3"/>
  <c r="S7" i="3"/>
  <c r="O7" i="3"/>
  <c r="D7" i="3"/>
  <c r="Y6" i="3"/>
  <c r="S6" i="3"/>
  <c r="O6" i="3"/>
  <c r="M6" i="3"/>
  <c r="P6" i="3" s="1"/>
  <c r="Z6" i="3"/>
  <c r="D6" i="3"/>
  <c r="C7" i="3" s="1"/>
  <c r="E7" i="3" s="1"/>
  <c r="C6" i="3"/>
  <c r="E6" i="3" s="1"/>
  <c r="B6" i="3"/>
  <c r="B7" i="3" s="1"/>
  <c r="B8" i="3" s="1"/>
  <c r="B9" i="3" s="1"/>
  <c r="B10" i="3" s="1"/>
  <c r="B11" i="3" s="1"/>
  <c r="A6" i="3"/>
  <c r="W6" i="3" s="1"/>
  <c r="Y5" i="3"/>
  <c r="W5" i="3"/>
  <c r="S5" i="3"/>
  <c r="M5" i="3"/>
  <c r="P5" i="3" s="1"/>
  <c r="Z5" i="3"/>
  <c r="F5" i="3"/>
  <c r="D5" i="3"/>
  <c r="C5" i="3"/>
  <c r="E5" i="3" s="1"/>
  <c r="O9" i="1"/>
  <c r="T18" i="3" l="1"/>
  <c r="U18" i="3"/>
  <c r="U15" i="3"/>
  <c r="W17" i="3"/>
  <c r="A18" i="3"/>
  <c r="AA5" i="3"/>
  <c r="Q5" i="3"/>
  <c r="R5" i="3" s="1"/>
  <c r="AB5" i="3" s="1"/>
  <c r="AA10" i="3"/>
  <c r="Q10" i="3"/>
  <c r="R10" i="3" s="1"/>
  <c r="AB10" i="3" s="1"/>
  <c r="AA7" i="3"/>
  <c r="Q7" i="3"/>
  <c r="R7" i="3" s="1"/>
  <c r="AB7" i="3" s="1"/>
  <c r="AA9" i="3"/>
  <c r="Q9" i="3"/>
  <c r="R9" i="3" s="1"/>
  <c r="AB9" i="3" s="1"/>
  <c r="AA6" i="3"/>
  <c r="Q6" i="3"/>
  <c r="R6" i="3" s="1"/>
  <c r="AB6" i="3" s="1"/>
  <c r="AA12" i="3"/>
  <c r="Q12" i="3"/>
  <c r="R12" i="3" s="1"/>
  <c r="AB12" i="3" s="1"/>
  <c r="AA16" i="3"/>
  <c r="Q16" i="3"/>
  <c r="R16" i="3" s="1"/>
  <c r="AB16" i="3" s="1"/>
  <c r="U12" i="3"/>
  <c r="AC12" i="3"/>
  <c r="T15" i="3"/>
  <c r="Q11" i="3"/>
  <c r="R11" i="3" s="1"/>
  <c r="AB11" i="3" s="1"/>
  <c r="T14" i="3"/>
  <c r="U14" i="3"/>
  <c r="T19" i="3"/>
  <c r="T11" i="3"/>
  <c r="AC11" i="3"/>
  <c r="T16" i="3"/>
  <c r="U19" i="3"/>
  <c r="F6" i="3"/>
  <c r="F7" i="3" s="1"/>
  <c r="F8" i="3" s="1"/>
  <c r="F9" i="3" s="1"/>
  <c r="F10" i="3" s="1"/>
  <c r="F11" i="3" s="1"/>
  <c r="F12" i="3" s="1"/>
  <c r="P8" i="3"/>
  <c r="U11" i="3"/>
  <c r="U16" i="3"/>
  <c r="T6" i="3"/>
  <c r="AC6" i="3"/>
  <c r="T13" i="3"/>
  <c r="AA18" i="3"/>
  <c r="Q18" i="3"/>
  <c r="R18" i="3" s="1"/>
  <c r="AB18" i="3" s="1"/>
  <c r="U6" i="3"/>
  <c r="U13" i="3"/>
  <c r="T8" i="3"/>
  <c r="AC8" i="3"/>
  <c r="U8" i="3"/>
  <c r="U5" i="3"/>
  <c r="AC5" i="3"/>
  <c r="T5" i="3"/>
  <c r="T10" i="3"/>
  <c r="AC10" i="3"/>
  <c r="U10" i="3"/>
  <c r="AA17" i="3"/>
  <c r="Q17" i="3"/>
  <c r="R17" i="3" s="1"/>
  <c r="AB17" i="3" s="1"/>
  <c r="P20" i="3"/>
  <c r="T7" i="3"/>
  <c r="AC7" i="3"/>
  <c r="Y15" i="3"/>
  <c r="E15" i="3"/>
  <c r="U7" i="3"/>
  <c r="W15" i="3"/>
  <c r="T17" i="3"/>
  <c r="T20" i="3"/>
  <c r="AA14" i="3"/>
  <c r="Q14" i="3"/>
  <c r="R14" i="3" s="1"/>
  <c r="AB14" i="3" s="1"/>
  <c r="U17" i="3"/>
  <c r="U20" i="3"/>
  <c r="AA19" i="3"/>
  <c r="Q19" i="3"/>
  <c r="R19" i="3" s="1"/>
  <c r="AB19" i="3" s="1"/>
  <c r="T9" i="3"/>
  <c r="AC9" i="3"/>
  <c r="F15" i="3"/>
  <c r="A7" i="3"/>
  <c r="M15" i="3"/>
  <c r="P15" i="3" s="1"/>
  <c r="M19" i="1"/>
  <c r="O6" i="1"/>
  <c r="D6" i="1"/>
  <c r="C7" i="1" s="1"/>
  <c r="S5" i="1"/>
  <c r="AD5" i="1" s="1"/>
  <c r="AA19" i="1"/>
  <c r="P5" i="1"/>
  <c r="Q5" i="1" s="1"/>
  <c r="R5" i="1" s="1"/>
  <c r="F13" i="1"/>
  <c r="F5" i="1"/>
  <c r="D12" i="1"/>
  <c r="D11" i="1"/>
  <c r="C12" i="1" s="1"/>
  <c r="E12" i="1" s="1"/>
  <c r="D10" i="1"/>
  <c r="D9" i="1"/>
  <c r="D8" i="1"/>
  <c r="D7" i="1"/>
  <c r="C8" i="1" s="1"/>
  <c r="D13" i="1"/>
  <c r="C14" i="1" s="1"/>
  <c r="E14" i="1" s="1"/>
  <c r="D5" i="1"/>
  <c r="C6" i="1" s="1"/>
  <c r="AA12" i="1"/>
  <c r="S12" i="1"/>
  <c r="AD12" i="1" s="1"/>
  <c r="O12" i="1"/>
  <c r="M12" i="1"/>
  <c r="P12" i="1" s="1"/>
  <c r="AB12" i="1" s="1"/>
  <c r="M11" i="1"/>
  <c r="M10" i="1"/>
  <c r="M9" i="1"/>
  <c r="M8" i="1"/>
  <c r="M6" i="1"/>
  <c r="M5" i="1"/>
  <c r="O16" i="1"/>
  <c r="K20" i="1"/>
  <c r="AA20" i="1"/>
  <c r="O20" i="1"/>
  <c r="S20" i="1"/>
  <c r="AD20" i="1" s="1"/>
  <c r="M20" i="1"/>
  <c r="P20" i="1" s="1"/>
  <c r="D20" i="1"/>
  <c r="D18" i="1"/>
  <c r="C19" i="1" s="1"/>
  <c r="M18" i="1"/>
  <c r="O18" i="1"/>
  <c r="P18" i="1"/>
  <c r="Q18" i="1" s="1"/>
  <c r="R18" i="1" s="1"/>
  <c r="S18" i="1"/>
  <c r="T18" i="1" s="1"/>
  <c r="C13" i="1"/>
  <c r="D19" i="1"/>
  <c r="C20" i="1" s="1"/>
  <c r="D17" i="1"/>
  <c r="C18" i="1" s="1"/>
  <c r="D16" i="1"/>
  <c r="C17" i="1" s="1"/>
  <c r="D15" i="1"/>
  <c r="C16" i="1" s="1"/>
  <c r="D14" i="1"/>
  <c r="C15" i="1" s="1"/>
  <c r="M17" i="1"/>
  <c r="S19" i="1"/>
  <c r="U19" i="1" s="1"/>
  <c r="O19" i="1"/>
  <c r="S17" i="1"/>
  <c r="U17" i="1" s="1"/>
  <c r="O17" i="1"/>
  <c r="P17" i="1" s="1"/>
  <c r="Q17" i="1" s="1"/>
  <c r="R17" i="1" s="1"/>
  <c r="S16" i="1"/>
  <c r="U16" i="1" s="1"/>
  <c r="P16" i="1"/>
  <c r="Q16" i="1" s="1"/>
  <c r="R16" i="1" s="1"/>
  <c r="S15" i="1"/>
  <c r="U15" i="1" s="1"/>
  <c r="O15" i="1"/>
  <c r="S14" i="1"/>
  <c r="U14" i="1" s="1"/>
  <c r="O14" i="1"/>
  <c r="M14" i="1"/>
  <c r="P14" i="1" s="1"/>
  <c r="Q14" i="1" s="1"/>
  <c r="R14" i="1" s="1"/>
  <c r="B14" i="1"/>
  <c r="B15" i="1" s="1"/>
  <c r="B16" i="1" s="1"/>
  <c r="B17" i="1" s="1"/>
  <c r="A14" i="1"/>
  <c r="A15" i="1" s="1"/>
  <c r="A16" i="1" s="1"/>
  <c r="A17" i="1" s="1"/>
  <c r="S13" i="1"/>
  <c r="U13" i="1" s="1"/>
  <c r="Q13" i="1"/>
  <c r="R13" i="1" s="1"/>
  <c r="P13" i="1"/>
  <c r="O11" i="1"/>
  <c r="O10" i="1"/>
  <c r="C5" i="1"/>
  <c r="B6" i="1"/>
  <c r="B7" i="1" s="1"/>
  <c r="B8" i="1" s="1"/>
  <c r="B9" i="1" s="1"/>
  <c r="B10" i="1" s="1"/>
  <c r="B11" i="1" s="1"/>
  <c r="A6" i="1"/>
  <c r="A7" i="1" s="1"/>
  <c r="A8" i="1" s="1"/>
  <c r="A9" i="1" s="1"/>
  <c r="A10" i="1" s="1"/>
  <c r="A11" i="1" s="1"/>
  <c r="A12" i="1" s="1"/>
  <c r="U12" i="1" l="1"/>
  <c r="T5" i="1"/>
  <c r="AA20" i="3"/>
  <c r="Q20" i="3"/>
  <c r="R20" i="3" s="1"/>
  <c r="AB20" i="3" s="1"/>
  <c r="AA15" i="3"/>
  <c r="Q15" i="3"/>
  <c r="R15" i="3" s="1"/>
  <c r="AB15" i="3" s="1"/>
  <c r="AA8" i="3"/>
  <c r="Q8" i="3"/>
  <c r="R8" i="3" s="1"/>
  <c r="AB8" i="3" s="1"/>
  <c r="W7" i="3"/>
  <c r="A8" i="3"/>
  <c r="F16" i="3"/>
  <c r="F17" i="3" s="1"/>
  <c r="F18" i="3" s="1"/>
  <c r="F19" i="3" s="1"/>
  <c r="F20" i="3" s="1"/>
  <c r="A19" i="3"/>
  <c r="W18" i="3"/>
  <c r="T12" i="1"/>
  <c r="Z12" i="1"/>
  <c r="Q12" i="1"/>
  <c r="R12" i="1" s="1"/>
  <c r="AC12" i="1" s="1"/>
  <c r="Z20" i="1"/>
  <c r="E20" i="1"/>
  <c r="E15" i="1"/>
  <c r="T20" i="1"/>
  <c r="U20" i="1"/>
  <c r="U18" i="1"/>
  <c r="AB20" i="1"/>
  <c r="Q20" i="1"/>
  <c r="R20" i="1" s="1"/>
  <c r="AC20" i="1" s="1"/>
  <c r="E18" i="1"/>
  <c r="E16" i="1"/>
  <c r="B18" i="1"/>
  <c r="B19" i="1" s="1"/>
  <c r="B20" i="1" s="1"/>
  <c r="A18" i="1"/>
  <c r="A19" i="1" s="1"/>
  <c r="A20" i="1" s="1"/>
  <c r="P19" i="1"/>
  <c r="Q19" i="1" s="1"/>
  <c r="R19" i="1" s="1"/>
  <c r="E19" i="1"/>
  <c r="E17" i="1"/>
  <c r="E13" i="1"/>
  <c r="F14" i="1" s="1"/>
  <c r="F15" i="1" s="1"/>
  <c r="F16" i="1" s="1"/>
  <c r="F17" i="1" s="1"/>
  <c r="F18" i="1" s="1"/>
  <c r="F19" i="1" s="1"/>
  <c r="F20" i="1" s="1"/>
  <c r="P15" i="1"/>
  <c r="Q15" i="1" s="1"/>
  <c r="R15" i="1" s="1"/>
  <c r="T16" i="1"/>
  <c r="T13" i="1"/>
  <c r="T15" i="1"/>
  <c r="T17" i="1"/>
  <c r="T14" i="1"/>
  <c r="T19" i="1"/>
  <c r="W19" i="3" l="1"/>
  <c r="A20" i="3"/>
  <c r="W8" i="3"/>
  <c r="A9" i="3"/>
  <c r="W19" i="1"/>
  <c r="W18" i="1"/>
  <c r="W17" i="1"/>
  <c r="W16" i="1"/>
  <c r="W15" i="1"/>
  <c r="W14" i="1"/>
  <c r="W13" i="1"/>
  <c r="W11" i="1"/>
  <c r="W10" i="1"/>
  <c r="W9" i="1"/>
  <c r="W8" i="1"/>
  <c r="W7" i="1"/>
  <c r="W5" i="1"/>
  <c r="W6" i="1"/>
  <c r="O7" i="1"/>
  <c r="O8" i="1"/>
  <c r="W9" i="3" l="1"/>
  <c r="A10" i="3"/>
  <c r="AA11" i="1"/>
  <c r="S11" i="1"/>
  <c r="AD11" i="1" s="1"/>
  <c r="P11" i="1"/>
  <c r="Q11" i="1" s="1"/>
  <c r="R11" i="1" s="1"/>
  <c r="AC11" i="1" s="1"/>
  <c r="C11" i="1"/>
  <c r="E11" i="1" s="1"/>
  <c r="AA10" i="1"/>
  <c r="S10" i="1"/>
  <c r="U10" i="1" s="1"/>
  <c r="P10" i="1"/>
  <c r="AB10" i="1" s="1"/>
  <c r="C10" i="1"/>
  <c r="E10" i="1" s="1"/>
  <c r="AA9" i="1"/>
  <c r="S9" i="1"/>
  <c r="T9" i="1" s="1"/>
  <c r="P9" i="1"/>
  <c r="Q9" i="1" s="1"/>
  <c r="R9" i="1" s="1"/>
  <c r="AC9" i="1" s="1"/>
  <c r="C9" i="1"/>
  <c r="E9" i="1" s="1"/>
  <c r="AA8" i="1"/>
  <c r="S8" i="1"/>
  <c r="T8" i="1" s="1"/>
  <c r="P8" i="1"/>
  <c r="AB8" i="1" s="1"/>
  <c r="E8" i="1"/>
  <c r="AA7" i="1"/>
  <c r="S7" i="1"/>
  <c r="U7" i="1" s="1"/>
  <c r="P7" i="1"/>
  <c r="Q7" i="1" s="1"/>
  <c r="R7" i="1" s="1"/>
  <c r="AC7" i="1" s="1"/>
  <c r="Z7" i="1"/>
  <c r="AA6" i="1"/>
  <c r="S6" i="1"/>
  <c r="T6" i="1" s="1"/>
  <c r="P6" i="1"/>
  <c r="AB6" i="1" s="1"/>
  <c r="E6" i="1"/>
  <c r="AA5" i="1"/>
  <c r="Z5" i="1"/>
  <c r="AB5" i="1"/>
  <c r="E5" i="1"/>
  <c r="F6" i="1" s="1"/>
  <c r="F7" i="1" s="1"/>
  <c r="AA18" i="1"/>
  <c r="AA17" i="1"/>
  <c r="AA16" i="1"/>
  <c r="AA15" i="1"/>
  <c r="AA14" i="1"/>
  <c r="AA13" i="1"/>
  <c r="Z13" i="1"/>
  <c r="W10" i="3" l="1"/>
  <c r="A11" i="3"/>
  <c r="Z8" i="1"/>
  <c r="AD6" i="1"/>
  <c r="U8" i="1"/>
  <c r="Z6" i="1"/>
  <c r="Z11" i="1"/>
  <c r="U6" i="1"/>
  <c r="U5" i="1"/>
  <c r="Q8" i="1"/>
  <c r="R8" i="1" s="1"/>
  <c r="AC8" i="1" s="1"/>
  <c r="T11" i="1"/>
  <c r="U11" i="1"/>
  <c r="Q10" i="1"/>
  <c r="R10" i="1" s="1"/>
  <c r="AC10" i="1" s="1"/>
  <c r="AD7" i="1"/>
  <c r="Z10" i="1"/>
  <c r="AB9" i="1"/>
  <c r="E7" i="1"/>
  <c r="F8" i="1" s="1"/>
  <c r="F9" i="1" s="1"/>
  <c r="F10" i="1" s="1"/>
  <c r="F11" i="1" s="1"/>
  <c r="F12" i="1" s="1"/>
  <c r="AD8" i="1"/>
  <c r="U9" i="1"/>
  <c r="AB7" i="1"/>
  <c r="Z9" i="1"/>
  <c r="AD10" i="1"/>
  <c r="T10" i="1"/>
  <c r="Q6" i="1"/>
  <c r="R6" i="1" s="1"/>
  <c r="AC6" i="1" s="1"/>
  <c r="T7" i="1"/>
  <c r="AD9" i="1"/>
  <c r="AB11" i="1"/>
  <c r="AC5" i="1"/>
  <c r="W11" i="3" l="1"/>
  <c r="A12" i="3"/>
  <c r="W13" i="3"/>
  <c r="AB18" i="1"/>
  <c r="AB16" i="1"/>
  <c r="AC18" i="1" l="1"/>
  <c r="AC16" i="1"/>
  <c r="AC14" i="1"/>
  <c r="AB14" i="1"/>
  <c r="Z17" i="1"/>
  <c r="AD13" i="1"/>
  <c r="Z19" i="1"/>
  <c r="AD14" i="1"/>
  <c r="Z16" i="1"/>
  <c r="AC17" i="1"/>
  <c r="AB17" i="1"/>
  <c r="AC19" i="1"/>
  <c r="AB19" i="1"/>
  <c r="AC13" i="1"/>
  <c r="AB13" i="1"/>
  <c r="AC15" i="1"/>
  <c r="AB15" i="1"/>
  <c r="Z15" i="1"/>
  <c r="AD17" i="1"/>
  <c r="AD18" i="1"/>
  <c r="AD19" i="1"/>
  <c r="Z18" i="1"/>
  <c r="AD15" i="1"/>
  <c r="Z14" i="1"/>
  <c r="AD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tc={170D2441-FC07-4C47-956C-102564C18C3A}</author>
    <author>tc={BEBDC002-C377-4F02-9452-2D0BE3AEC7C4}</author>
    <author>tc={C25CF076-5BA6-4330-8900-C221CC9BD951}</author>
    <author>tc={A6FBDDF0-44A1-4C94-B9A6-56E052F75072}</author>
    <author>tc={055FB81E-DADA-48C8-B2D5-FF14A7DCDCD3}</author>
    <author>tc={8DD54370-CB1E-43CA-B40F-B2F9ED0BF9C6}</author>
    <author>tc={F399CDA5-97FD-41A5-9D43-B27E8C4F82DF}</author>
    <author>tc={F77C04C8-AEFC-4C9B-A861-91FD08626AA4}</author>
  </authors>
  <commentList>
    <comment ref="N5" authorId="0" shapeId="0" xr:uid="{170D2441-FC07-4C47-956C-102564C18C3A}">
      <text>
        <t>[Threaded comment]
Your version of Excel allows you to read this threaded comment; however, any edits to it will get removed if the file is opened in a newer version of Excel. Learn more: https://go.microsoft.com/fwlink/?linkid=870924
Comment:
    PI = 3, Per GDM 1302.1, since D50&lt;0.20 mm, assume PI=4 for PI&lt;4</t>
      </text>
    </comment>
    <comment ref="O5" authorId="1" shapeId="0" xr:uid="{BEBDC002-C377-4F02-9452-2D0BE3AEC7C4}">
      <text>
        <t>[Threaded comment]
Your version of Excel allows you to read this threaded comment; however, any edits to it will get removed if the file is opened in a newer version of Excel. Learn more: https://go.microsoft.com/fwlink/?linkid=870924
Comment:
    Per GDM 1302.1, for a transitional soil with D50 value less than 0.22 but tested as non plastic, assume PI =4 and if soil is cohesionless use qu = 2000 psf</t>
      </text>
    </comment>
    <comment ref="N8" authorId="2" shapeId="0" xr:uid="{C25CF076-5BA6-4330-8900-C221CC9BD951}">
      <text>
        <t>[Threaded comment]
Your version of Excel allows you to read this threaded comment; however, any edits to it will get removed if the file is opened in a newer version of Excel. Learn more: https://go.microsoft.com/fwlink/?linkid=870924
Comment:
    PI = 3, Per GDM 1302.1, since D50&lt;0.20 mm, assume PI=4 for PI&lt;4</t>
      </text>
    </comment>
    <comment ref="I13" authorId="3" shapeId="0" xr:uid="{A6FBDDF0-44A1-4C94-B9A6-56E052F75072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Assumed based on laboratory particle size distribution, about 50% would remain on $40 sieve or 0.42 mm.</t>
      </text>
    </comment>
    <comment ref="N13" authorId="4" shapeId="0" xr:uid="{055FB81E-DADA-48C8-B2D5-FF14A7DCDCD3}">
      <text>
        <t>[Threaded comment]
Your version of Excel allows you to read this threaded comment; however, any edits to it will get removed if the file is opened in a newer version of Excel. Learn more: https://go.microsoft.com/fwlink/?linkid=870924
Comment:
    PI = 3, Per GDM 1302.1, since D50&lt;0.20 mm, assume PI=4 for PI&lt;4</t>
      </text>
    </comment>
    <comment ref="N16" authorId="5" shapeId="0" xr:uid="{8DD54370-CB1E-43CA-B40F-B2F9ED0BF9C6}">
      <text>
        <t>[Threaded comment]
Your version of Excel allows you to read this threaded comment; however, any edits to it will get removed if the file is opened in a newer version of Excel. Learn more: https://go.microsoft.com/fwlink/?linkid=870924
Comment:
    PI = 3, Per GDM 1302.1, since D50&lt;0.20 mm, assume PI=4 for PI&lt;4</t>
      </text>
    </comment>
    <comment ref="O16" authorId="6" shapeId="0" xr:uid="{F399CDA5-97FD-41A5-9D43-B27E8C4F82DF}">
      <text>
        <t>[Threaded comment]
Your version of Excel allows you to read this threaded comment; however, any edits to it will get removed if the file is opened in a newer version of Excel. Learn more: https://go.microsoft.com/fwlink/?linkid=870924
Comment:
    Per GDM 1302.1, for a transitional soil with D50 value less than 0.22 but tested as non plastic, assume PI =4 and if soil is cohesionless use qu = 2000 psf</t>
      </text>
    </comment>
    <comment ref="N20" authorId="7" shapeId="0" xr:uid="{F77C04C8-AEFC-4C9B-A861-91FD08626AA4}">
      <text>
        <t>[Threaded comment]
Your version of Excel allows you to read this threaded comment; however, any edits to it will get removed if the file is opened in a newer version of Excel. Learn more: https://go.microsoft.com/fwlink/?linkid=870924
Comment:
    PI = 3, Per GDM 1302.1, since D50&lt;0.20 mm, assume PI=4 for PI&lt;4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tc={7D0DE67C-14CC-49EB-BD78-CA72A23C186F}</author>
    <author>tc={576C0A25-0413-4094-BF21-4969185F4DD8}</author>
    <author>tc={C0399883-86A2-4845-AA89-BAC7E836AADC}</author>
    <author>tc={E0D58B4B-DE64-4FD5-9DB8-3DA553029332}</author>
    <author>tc={870A5EC5-53DC-4DC4-8678-C72AB5059207}</author>
    <author>tc={0874C58B-4CDC-4DF6-AE9E-E18A9D342B62}</author>
    <author>tc={43B8D836-E52C-4D45-952E-714B9B89DD9B}</author>
    <author>tc={F21F00BD-E599-4CCB-B911-3E4C6D8F581A}</author>
    <author>tc={352A0A91-A626-4BF0-B8F4-97EC31D0144B}</author>
    <author>tc={0859397A-7E19-4E6B-B68A-AB569C223E9A}</author>
    <author>tc={CAAF6132-F8C8-491A-BBFE-201885375BA5}</author>
    <author>tc={0F82C787-74B8-42BC-A686-C5C7AB5E098F}</author>
    <author>tc={46D44D8F-60EF-4572-8C28-8562B3F9ED34}</author>
    <author>tc={A5EB638F-E6CC-4625-8995-1AA40D3EEED6}</author>
  </authors>
  <commentList>
    <comment ref="N5" authorId="0" shapeId="0" xr:uid="{7D0DE67C-14CC-49EB-BD78-CA72A23C186F}">
      <text>
        <t>[Threaded comment]
Your version of Excel allows you to read this threaded comment; however, any edits to it will get removed if the file is opened in a newer version of Excel. Learn more: https://go.microsoft.com/fwlink/?linkid=870924
Comment:
    PI = 3, Per GDM 1302.1, since D50&lt;0.20 mm, assume PI=4 for PI&lt;4</t>
      </text>
    </comment>
    <comment ref="O5" authorId="1" shapeId="0" xr:uid="{576C0A25-0413-4094-BF21-4969185F4DD8}">
      <text>
        <t>[Threaded comment]
Your version of Excel allows you to read this threaded comment; however, any edits to it will get removed if the file is opened in a newer version of Excel. Learn more: https://go.microsoft.com/fwlink/?linkid=870924
Comment:
    Per GDM 1302.1, for a transitional soil with D50 value less than 0.22 but tested as non plastic, assume PI =4 and if soil is cohesionless use qu = 2000 psf</t>
      </text>
    </comment>
    <comment ref="I6" authorId="2" shapeId="0" xr:uid="{C0399883-86A2-4845-AA89-BAC7E836AAD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Computed based on particle size data for SS-2. </t>
      </text>
    </comment>
    <comment ref="I7" authorId="3" shapeId="0" xr:uid="{E0D58B4B-DE64-4FD5-9DB8-3DA553029332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Interpolated based on SS-2 and SS-4 particle size data. </t>
      </text>
    </comment>
    <comment ref="M7" authorId="4" shapeId="0" xr:uid="{870A5EC5-53DC-4DC4-8678-C72AB5059207}">
      <text>
        <t>[Threaded comment]
Your version of Excel allows you to read this threaded comment; however, any edits to it will get removed if the file is opened in a newer version of Excel. Learn more: https://go.microsoft.com/fwlink/?linkid=870924
Comment:
    Interpolated based on particle size data from SS-2 and SS-4.</t>
      </text>
    </comment>
    <comment ref="N8" authorId="5" shapeId="0" xr:uid="{0874C58B-4CDC-4DF6-AE9E-E18A9D342B62}">
      <text>
        <t>[Threaded comment]
Your version of Excel allows you to read this threaded comment; however, any edits to it will get removed if the file is opened in a newer version of Excel. Learn more: https://go.microsoft.com/fwlink/?linkid=870924
Comment:
    PI = 3, Per GDM 1302.1, since D50&lt;0.20 mm, assume PI=4 for PI&lt;4</t>
      </text>
    </comment>
    <comment ref="I13" authorId="6" shapeId="0" xr:uid="{43B8D836-E52C-4D45-952E-714B9B89DD9B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Assumed based on laboratory particle size distribution, about 50% would remain on $40 sieve or 0.42 mm.</t>
      </text>
    </comment>
    <comment ref="N13" authorId="7" shapeId="0" xr:uid="{F21F00BD-E599-4CCB-B911-3E4C6D8F581A}">
      <text>
        <t>[Threaded comment]
Your version of Excel allows you to read this threaded comment; however, any edits to it will get removed if the file is opened in a newer version of Excel. Learn more: https://go.microsoft.com/fwlink/?linkid=870924
Comment:
    PI = 3, Per GDM 1302.1, since D50&lt;0.20 mm, assume PI=4 for PI&lt;4</t>
      </text>
    </comment>
    <comment ref="I14" authorId="8" shapeId="0" xr:uid="{352A0A91-A626-4BF0-B8F4-97EC31D0144B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Computed for particle size data for SS-2. </t>
      </text>
    </comment>
    <comment ref="I15" authorId="9" shapeId="0" xr:uid="{0859397A-7E19-4E6B-B68A-AB569C223E9A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Interpolated based on SS-2 and SS-4 particle size data. </t>
      </text>
    </comment>
    <comment ref="M15" authorId="10" shapeId="0" xr:uid="{CAAF6132-F8C8-491A-BBFE-201885375BA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Interpolated based on particle size data from S-2 and S-4. </t>
      </text>
    </comment>
    <comment ref="N16" authorId="11" shapeId="0" xr:uid="{0F82C787-74B8-42BC-A686-C5C7AB5E098F}">
      <text>
        <t>[Threaded comment]
Your version of Excel allows you to read this threaded comment; however, any edits to it will get removed if the file is opened in a newer version of Excel. Learn more: https://go.microsoft.com/fwlink/?linkid=870924
Comment:
    PI = 3, Per GDM 1302.1, since D50&lt;0.20 mm, assume PI=4 for PI&lt;4</t>
      </text>
    </comment>
    <comment ref="O16" authorId="12" shapeId="0" xr:uid="{46D44D8F-60EF-4572-8C28-8562B3F9ED34}">
      <text>
        <t>[Threaded comment]
Your version of Excel allows you to read this threaded comment; however, any edits to it will get removed if the file is opened in a newer version of Excel. Learn more: https://go.microsoft.com/fwlink/?linkid=870924
Comment:
    Per GDM 1302.1, for a transitional soil with D50 value less than 0.22 but tested as non plastic, assume PI =4 and if soil is cohesionless use qu = 2000 psf</t>
      </text>
    </comment>
    <comment ref="N20" authorId="13" shapeId="0" xr:uid="{A5EB638F-E6CC-4625-8995-1AA40D3EEED6}">
      <text>
        <t>[Threaded comment]
Your version of Excel allows you to read this threaded comment; however, any edits to it will get removed if the file is opened in a newer version of Excel. Learn more: https://go.microsoft.com/fwlink/?linkid=870924
Comment:
    PI = 3, Per GDM 1302.1, since D50&lt;0.20 mm, assume PI=4 for PI&lt;4</t>
      </text>
    </comment>
  </commentList>
</comments>
</file>

<file path=xl/sharedStrings.xml><?xml version="1.0" encoding="utf-8"?>
<sst xmlns="http://schemas.openxmlformats.org/spreadsheetml/2006/main" count="276" uniqueCount="77">
  <si>
    <t>Top</t>
  </si>
  <si>
    <t>Elev</t>
  </si>
  <si>
    <t>Bottom</t>
  </si>
  <si>
    <t>Soil</t>
  </si>
  <si>
    <t>Class</t>
  </si>
  <si>
    <t>Granular/</t>
  </si>
  <si>
    <t>Cohesive</t>
  </si>
  <si>
    <t>(mm)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</si>
  <si>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50</t>
    </r>
  </si>
  <si>
    <t>F</t>
  </si>
  <si>
    <t>w</t>
  </si>
  <si>
    <t>PI</t>
  </si>
  <si>
    <t>(%)</t>
  </si>
  <si>
    <t>(psf)</t>
  </si>
  <si>
    <t>(Pa)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</si>
  <si>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50,equiv</t>
    </r>
  </si>
  <si>
    <r>
      <rPr>
        <b/>
        <sz val="11"/>
        <color theme="1"/>
        <rFont val="Calibri"/>
        <family val="2"/>
      </rPr>
      <t>τ</t>
    </r>
    <r>
      <rPr>
        <b/>
        <vertAlign val="subscript"/>
        <sz val="11"/>
        <color theme="1"/>
        <rFont val="Calibri"/>
        <family val="2"/>
        <scheme val="minor"/>
      </rPr>
      <t>c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</si>
  <si>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u</t>
    </r>
  </si>
  <si>
    <t>Boring</t>
  </si>
  <si>
    <t>ID</t>
  </si>
  <si>
    <t>Layer</t>
  </si>
  <si>
    <t>No.</t>
  </si>
  <si>
    <t>Coeff.</t>
  </si>
  <si>
    <t>EC</t>
  </si>
  <si>
    <t>α</t>
  </si>
  <si>
    <t>β</t>
  </si>
  <si>
    <t>A-4a</t>
  </si>
  <si>
    <t>Granular</t>
  </si>
  <si>
    <t>A-2-4</t>
  </si>
  <si>
    <t>Thick.</t>
  </si>
  <si>
    <t>Scour Samples</t>
  </si>
  <si>
    <t>Sample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</si>
  <si>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50</t>
    </r>
    <r>
      <rPr>
        <b/>
        <sz val="11"/>
        <color theme="1"/>
        <rFont val="Calibri"/>
        <family val="2"/>
        <scheme val="minor"/>
      </rPr>
      <t xml:space="preserve"> Value</t>
    </r>
  </si>
  <si>
    <r>
      <rPr>
        <b/>
        <sz val="11"/>
        <color theme="1"/>
        <rFont val="Calibri"/>
        <family val="2"/>
      </rPr>
      <t>τ</t>
    </r>
    <r>
      <rPr>
        <b/>
        <vertAlign val="subscript"/>
        <sz val="11"/>
        <color theme="1"/>
        <rFont val="Calibri"/>
        <family val="2"/>
        <scheme val="minor"/>
      </rPr>
      <t>c</t>
    </r>
    <r>
      <rPr>
        <b/>
        <sz val="11"/>
        <color theme="1"/>
        <rFont val="Calibri"/>
        <family val="2"/>
        <scheme val="minor"/>
      </rPr>
      <t xml:space="preserve"> Value</t>
    </r>
  </si>
  <si>
    <t>Erosion</t>
  </si>
  <si>
    <t>Elevation</t>
  </si>
  <si>
    <t>Category</t>
  </si>
  <si>
    <t>HP</t>
  </si>
  <si>
    <r>
      <t>N</t>
    </r>
    <r>
      <rPr>
        <b/>
        <vertAlign val="subscript"/>
        <sz val="11"/>
        <color theme="1"/>
        <rFont val="Calibri"/>
        <family val="2"/>
        <scheme val="minor"/>
      </rPr>
      <t>60</t>
    </r>
  </si>
  <si>
    <t>(tsf)</t>
  </si>
  <si>
    <t>B-001-0-23</t>
  </si>
  <si>
    <t>Per GDM Section 1300</t>
  </si>
  <si>
    <t>1302.1 - Critical Shear Stress</t>
  </si>
  <si>
    <t>B-002-0-23</t>
  </si>
  <si>
    <t>Start of Boring Elev. B-002-0-23</t>
  </si>
  <si>
    <t>Start of Boring Elev. B-001-0-23</t>
  </si>
  <si>
    <t>ft</t>
  </si>
  <si>
    <t>SS-1</t>
  </si>
  <si>
    <t>SS-3</t>
  </si>
  <si>
    <t>SS-2</t>
  </si>
  <si>
    <t>SS-8</t>
  </si>
  <si>
    <t>SS-4</t>
  </si>
  <si>
    <t>SS-5</t>
  </si>
  <si>
    <t>SS-6</t>
  </si>
  <si>
    <t>SS-7</t>
  </si>
  <si>
    <t>Depth</t>
  </si>
  <si>
    <t>Total Start</t>
  </si>
  <si>
    <t>Scour Samples - Cohesion</t>
  </si>
  <si>
    <t>D50 Calculations</t>
  </si>
  <si>
    <t>658.7' - 656.6'</t>
  </si>
  <si>
    <t/>
  </si>
  <si>
    <t>656.6' - 654.1'</t>
  </si>
  <si>
    <t>654.1' - 652.1'</t>
  </si>
  <si>
    <t>658.5' - 656.4'</t>
  </si>
  <si>
    <t>656.4' - 653.9'</t>
  </si>
  <si>
    <t>653.9' - 651.9'</t>
  </si>
  <si>
    <t>GR</t>
  </si>
  <si>
    <t>CS</t>
  </si>
  <si>
    <t>FS</t>
  </si>
  <si>
    <t>CL</t>
  </si>
  <si>
    <t>SI</t>
  </si>
  <si>
    <t>*Indeterminate - default to sieve size passing D50 (Coarse Sand)</t>
  </si>
  <si>
    <t>Retained (mm)</t>
  </si>
  <si>
    <t>Passing (mm)</t>
  </si>
  <si>
    <t>Average</t>
  </si>
  <si>
    <t>Coarse</t>
  </si>
  <si>
    <t>JAC-788-0.90, PID 115771, Scour Soil Properties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</si>
</sst>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9"/>
      <color indexed="81"/>
      <name val="Tahoma"/>
      <family val="2"/>
    </font>
    <font>
      <sz val="9"/>
      <color indexed="81"/>
      <name val="Tahoma"/>
      <charset val="1"/>
    </font>
    <font>
      <sz val="11"/>
      <color theme="4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4" fillId="0" borderId="0" xfId="0" applyFont="1"/>
    <xf numFmtId="0" fontId="0" fillId="0" borderId="2" xfId="0" applyBorder="1" applyAlignment="1">
      <alignment horizontal="center"/>
    </xf>
    <xf numFmtId="0" fontId="0" fillId="0" borderId="1" xfId="0" applyBorder="1"/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4" xfId="0" applyBorder="1"/>
    <xf numFmtId="0" fontId="0" fillId="0" borderId="3" xfId="0" applyBorder="1" applyAlignment="1">
      <alignment horizontal="center"/>
    </xf>
    <xf numFmtId="166" fontId="1" fillId="0" borderId="3" xfId="0" applyNumberFormat="1" applyFont="1" applyBorder="1" applyAlignment="1">
      <alignment horizontal="right"/>
    </xf>
    <xf numFmtId="166" fontId="0" fillId="0" borderId="3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166" fontId="1" fillId="0" borderId="6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166" fontId="0" fillId="0" borderId="8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6" xfId="0" applyBorder="1"/>
    <xf numFmtId="0" fontId="0" fillId="0" borderId="9" xfId="0" applyBorder="1"/>
    <xf numFmtId="0" fontId="0" fillId="0" borderId="7" xfId="0" applyBorder="1"/>
    <xf numFmtId="1" fontId="0" fillId="0" borderId="0" xfId="0" applyNumberFormat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165" fontId="6" fillId="0" borderId="2" xfId="0" applyNumberFormat="1" applyFont="1" applyBorder="1" applyAlignment="1">
      <alignment horizontal="center"/>
    </xf>
    <xf numFmtId="165" fontId="6" fillId="0" borderId="0" xfId="0" applyNumberFormat="1" applyFont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6" fillId="0" borderId="2" xfId="0" applyFont="1" applyBorder="1"/>
    <xf numFmtId="1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/>
    </xf>
    <xf numFmtId="166" fontId="5" fillId="2" borderId="2" xfId="0" applyNumberFormat="1" applyFont="1" applyFill="1" applyBorder="1" applyAlignment="1">
      <alignment horizontal="center"/>
    </xf>
    <xf numFmtId="1" fontId="6" fillId="2" borderId="0" xfId="0" applyNumberFormat="1" applyFont="1" applyFill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1" fontId="5" fillId="0" borderId="2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9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166" fontId="9" fillId="0" borderId="0" xfId="0" applyNumberFormat="1" applyFont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6" fontId="1" fillId="0" borderId="2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166" fontId="1" fillId="0" borderId="11" xfId="0" applyNumberFormat="1" applyFont="1" applyBorder="1" applyAlignment="1">
      <alignment horizontal="center"/>
    </xf>
    <xf numFmtId="165" fontId="1" fillId="0" borderId="12" xfId="0" applyNumberFormat="1" applyFont="1" applyBorder="1" applyAlignment="1">
      <alignment horizontal="center"/>
    </xf>
    <xf numFmtId="166" fontId="1" fillId="0" borderId="13" xfId="0" applyNumberFormat="1" applyFon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4" xfId="0" applyNumberFormat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2" fontId="6" fillId="2" borderId="0" xfId="0" applyNumberFormat="1" applyFont="1" applyFill="1" applyAlignment="1">
      <alignment horizontal="center"/>
    </xf>
    <xf numFmtId="166" fontId="0" fillId="0" borderId="8" xfId="0" applyNumberFormat="1" applyFill="1" applyBorder="1" applyAlignment="1">
      <alignment horizontal="center"/>
    </xf>
    <xf numFmtId="1" fontId="5" fillId="2" borderId="0" xfId="0" applyNumberFormat="1" applyFont="1" applyFill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166" fontId="5" fillId="0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</xdr:row>
      <xdr:rowOff>45720</xdr:rowOff>
    </xdr:from>
    <xdr:to>
      <xdr:col>8</xdr:col>
      <xdr:colOff>464821</xdr:colOff>
      <xdr:row>4</xdr:row>
      <xdr:rowOff>147950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7FB3C0-4ED7-DA40-ECF7-682FD0534B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594360"/>
          <a:ext cx="5341620" cy="28511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Hurst, Matthew" id="{1869669E-E7C1-4330-A9C2-487C73A6E999}" userId="S::10227314@id.ohio.gov::7c59302d-c56e-4ecd-9d69-1f0189560eb5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N5" dT="2024-11-15T19:22:52.94" personId="{1869669E-E7C1-4330-A9C2-487C73A6E999}" id="{170D2441-FC07-4C47-956C-102564C18C3A}">
    <text>PI = 3, Per GDM 1302.1, since D50&lt;0.20 mm, assume PI=4 for PI&lt;4</text>
  </threadedComment>
  <threadedComment ref="O5" dT="2024-11-15T18:01:01.27" personId="{1869669E-E7C1-4330-A9C2-487C73A6E999}" id="{BEBDC002-C377-4F02-9452-2D0BE3AEC7C4}">
    <text>Per GDM 1302.1, for a transitional soil with D50 value less than 0.22 but tested as non plastic, assume PI =4 and if soil is cohesionless use qu = 2000 psf</text>
  </threadedComment>
  <threadedComment ref="N8" dT="2024-11-15T19:23:54.73" personId="{1869669E-E7C1-4330-A9C2-487C73A6E999}" id="{C25CF076-5BA6-4330-8900-C221CC9BD951}">
    <text>PI = 3, Per GDM 1302.1, since D50&lt;0.20 mm, assume PI=4 for PI&lt;4</text>
  </threadedComment>
  <threadedComment ref="I13" dT="2024-11-15T18:59:08.83" personId="{1869669E-E7C1-4330-A9C2-487C73A6E999}" id="{A6FBDDF0-44A1-4C94-B9A6-56E052F75072}">
    <text>Assumed based on laboratory particle size distribution, about 50% would remain on $40 sieve or 0.42 mm.</text>
  </threadedComment>
  <threadedComment ref="N13" dT="2024-11-15T19:22:45.03" personId="{1869669E-E7C1-4330-A9C2-487C73A6E999}" id="{055FB81E-DADA-48C8-B2D5-FF14A7DCDCD3}">
    <text>PI = 3, Per GDM 1302.1, since D50&lt;0.20 mm, assume PI=4 for PI&lt;4</text>
  </threadedComment>
  <threadedComment ref="N16" dT="2024-11-15T18:00:36.45" personId="{1869669E-E7C1-4330-A9C2-487C73A6E999}" id="{8DD54370-CB1E-43CA-B40F-B2F9ED0BF9C6}">
    <text>PI = 3, Per GDM 1302.1, since D50&lt;0.20 mm, assume PI=4 for PI&lt;4</text>
  </threadedComment>
  <threadedComment ref="O16" dT="2024-11-15T19:14:53.56" personId="{1869669E-E7C1-4330-A9C2-487C73A6E999}" id="{F399CDA5-97FD-41A5-9D43-B27E8C4F82DF}">
    <text>Per GDM 1302.1, for a transitional soil with D50 value less than 0.22 but tested as non plastic, assume PI =4 and if soil is cohesionless use qu = 2000 psf</text>
  </threadedComment>
  <threadedComment ref="N20" dT="2024-11-15T19:22:59.80" personId="{1869669E-E7C1-4330-A9C2-487C73A6E999}" id="{F77C04C8-AEFC-4C9B-A861-91FD08626AA4}">
    <text>PI = 3, Per GDM 1302.1, since D50&lt;0.20 mm, assume PI=4 for PI&lt;4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N5" dT="2024-11-15T19:22:52.94" personId="{1869669E-E7C1-4330-A9C2-487C73A6E999}" id="{7D0DE67C-14CC-49EB-BD78-CA72A23C186F}">
    <text>PI = 3, Per GDM 1302.1, since D50&lt;0.20 mm, assume PI=4 for PI&lt;4</text>
  </threadedComment>
  <threadedComment ref="O5" dT="2024-11-15T18:01:01.27" personId="{1869669E-E7C1-4330-A9C2-487C73A6E999}" id="{576C0A25-0413-4094-BF21-4969185F4DD8}">
    <text>Per GDM 1302.1, for a transitional soil with D50 value less than 0.22 but tested as non plastic, assume PI =4 and if soil is cohesionless use qu = 2000 psf</text>
  </threadedComment>
  <threadedComment ref="I6" dT="2024-11-19T16:04:35.25" personId="{1869669E-E7C1-4330-A9C2-487C73A6E999}" id="{C0399883-86A2-4845-AA89-BAC7E836AADC}">
    <text xml:space="preserve">Computed based on particle size data for SS-2. </text>
  </threadedComment>
  <threadedComment ref="I7" dT="2024-11-19T16:05:02.45" personId="{1869669E-E7C1-4330-A9C2-487C73A6E999}" id="{E0D58B4B-DE64-4FD5-9DB8-3DA553029332}">
    <text xml:space="preserve">Interpolated based on SS-2 and SS-4 particle size data. </text>
  </threadedComment>
  <threadedComment ref="M7" dT="2024-11-19T16:03:45.19" personId="{1869669E-E7C1-4330-A9C2-487C73A6E999}" id="{870A5EC5-53DC-4DC4-8678-C72AB5059207}">
    <text>Interpolated based on particle size data from SS-2 and SS-4.</text>
  </threadedComment>
  <threadedComment ref="N8" dT="2024-11-15T19:23:54.73" personId="{1869669E-E7C1-4330-A9C2-487C73A6E999}" id="{0874C58B-4CDC-4DF6-AE9E-E18A9D342B62}">
    <text>PI = 3, Per GDM 1302.1, since D50&lt;0.20 mm, assume PI=4 for PI&lt;4</text>
  </threadedComment>
  <threadedComment ref="I13" dT="2024-11-15T18:59:08.83" personId="{1869669E-E7C1-4330-A9C2-487C73A6E999}" id="{43B8D836-E52C-4D45-952E-714B9B89DD9B}">
    <text>Assumed based on laboratory particle size distribution, about 50% would remain on $40 sieve or 0.42 mm.</text>
  </threadedComment>
  <threadedComment ref="N13" dT="2024-11-15T19:22:45.03" personId="{1869669E-E7C1-4330-A9C2-487C73A6E999}" id="{F21F00BD-E599-4CCB-B911-3E4C6D8F581A}">
    <text>PI = 3, Per GDM 1302.1, since D50&lt;0.20 mm, assume PI=4 for PI&lt;4</text>
  </threadedComment>
  <threadedComment ref="I14" dT="2024-11-19T16:04:47.05" personId="{1869669E-E7C1-4330-A9C2-487C73A6E999}" id="{352A0A91-A626-4BF0-B8F4-97EC31D0144B}">
    <text xml:space="preserve">Computed for particle size data for SS-2. </text>
  </threadedComment>
  <threadedComment ref="I15" dT="2024-11-19T16:05:28.09" personId="{1869669E-E7C1-4330-A9C2-487C73A6E999}" id="{0859397A-7E19-4E6B-B68A-AB569C223E9A}">
    <text xml:space="preserve">Interpolated based on SS-2 and SS-4 particle size data. </text>
  </threadedComment>
  <threadedComment ref="M15" dT="2024-11-19T16:04:04.59" personId="{1869669E-E7C1-4330-A9C2-487C73A6E999}" id="{CAAF6132-F8C8-491A-BBFE-201885375BA5}">
    <text xml:space="preserve">Interpolated based on particle size data from S-2 and S-4. </text>
  </threadedComment>
  <threadedComment ref="N16" dT="2024-11-15T18:00:36.45" personId="{1869669E-E7C1-4330-A9C2-487C73A6E999}" id="{0F82C787-74B8-42BC-A686-C5C7AB5E098F}">
    <text>PI = 3, Per GDM 1302.1, since D50&lt;0.20 mm, assume PI=4 for PI&lt;4</text>
  </threadedComment>
  <threadedComment ref="O16" dT="2024-11-15T19:14:53.56" personId="{1869669E-E7C1-4330-A9C2-487C73A6E999}" id="{46D44D8F-60EF-4572-8C28-8562B3F9ED34}">
    <text>Per GDM 1302.1, for a transitional soil with D50 value less than 0.22 but tested as non plastic, assume PI =4 and if soil is cohesionless use qu = 2000 psf</text>
  </threadedComment>
  <threadedComment ref="N20" dT="2024-11-15T19:22:59.80" personId="{1869669E-E7C1-4330-A9C2-487C73A6E999}" id="{A5EB638F-E6CC-4625-8995-1AA40D3EEED6}">
    <text>PI = 3, Per GDM 1302.1, since D50&lt;0.20 mm, assume PI=4 for PI&lt;4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6B7FD-662D-44E3-9812-6B6E33ED0519}">
  <dimension ref="A1:AC23"/>
  <sheetViews>
    <sheetView workbookViewId="0">
      <selection activeCell="A2" sqref="A2"/>
    </sheetView>
  </sheetViews>
  <sheetFormatPr defaultRowHeight="14.4" x14ac:dyDescent="0.3"/>
  <cols>
    <col min="1" max="1" width="10.33203125" bestFit="1" customWidth="1"/>
    <col min="2" max="2" width="5.5546875" style="2" bestFit="1" customWidth="1"/>
    <col min="3" max="6" width="8.88671875" style="8"/>
    <col min="7" max="7" width="5.6640625" style="2" bestFit="1" customWidth="1"/>
    <col min="8" max="8" width="8.88671875" style="2"/>
    <col min="9" max="9" width="6.5546875" style="13" bestFit="1" customWidth="1"/>
    <col min="10" max="10" width="5" style="37" bestFit="1" customWidth="1"/>
    <col min="11" max="11" width="4.5546875" style="40" bestFit="1" customWidth="1"/>
    <col min="12" max="14" width="5" style="37" bestFit="1" customWidth="1"/>
    <col min="15" max="15" width="6.88671875" style="2" customWidth="1"/>
    <col min="16" max="16" width="6.5546875" style="13" bestFit="1" customWidth="1"/>
    <col min="17" max="17" width="8.5546875" style="13" bestFit="1" customWidth="1"/>
    <col min="18" max="18" width="7.5546875" style="13" bestFit="1" customWidth="1"/>
    <col min="19" max="19" width="6.5546875" style="13" bestFit="1" customWidth="1"/>
    <col min="20" max="20" width="8.88671875" style="13" customWidth="1"/>
    <col min="21" max="21" width="9" style="13" customWidth="1"/>
    <col min="23" max="23" width="10.33203125" bestFit="1" customWidth="1"/>
    <col min="25" max="25" width="12.5546875" bestFit="1" customWidth="1"/>
  </cols>
  <sheetData>
    <row r="1" spans="1:29" ht="18" x14ac:dyDescent="0.35">
      <c r="A1" s="5" t="s">
        <v>76</v>
      </c>
      <c r="W1" s="5"/>
    </row>
    <row r="2" spans="1:29" x14ac:dyDescent="0.3">
      <c r="W2" s="18"/>
      <c r="X2" s="19"/>
      <c r="Y2" s="19"/>
      <c r="Z2" s="20" t="s">
        <v>30</v>
      </c>
      <c r="AA2" s="21"/>
      <c r="AB2" s="21"/>
      <c r="AC2" s="22"/>
    </row>
    <row r="3" spans="1:29" s="1" customFormat="1" ht="15.6" x14ac:dyDescent="0.35">
      <c r="A3" s="1" t="s">
        <v>18</v>
      </c>
      <c r="B3" s="14" t="s">
        <v>20</v>
      </c>
      <c r="C3" s="9" t="s">
        <v>0</v>
      </c>
      <c r="D3" s="69" t="s">
        <v>2</v>
      </c>
      <c r="E3" s="70" t="s">
        <v>20</v>
      </c>
      <c r="F3" s="70" t="s">
        <v>56</v>
      </c>
      <c r="G3" s="71" t="s">
        <v>3</v>
      </c>
      <c r="H3" s="71" t="s">
        <v>5</v>
      </c>
      <c r="I3" s="72" t="s">
        <v>8</v>
      </c>
      <c r="J3" s="73"/>
      <c r="K3" s="74" t="s">
        <v>37</v>
      </c>
      <c r="L3" s="73" t="s">
        <v>10</v>
      </c>
      <c r="M3" s="73" t="s">
        <v>9</v>
      </c>
      <c r="N3" s="73" t="s">
        <v>11</v>
      </c>
      <c r="O3" s="71" t="s">
        <v>17</v>
      </c>
      <c r="P3" s="72" t="s">
        <v>16</v>
      </c>
      <c r="Q3" s="72" t="s">
        <v>16</v>
      </c>
      <c r="R3" s="72" t="s">
        <v>15</v>
      </c>
      <c r="S3" s="72" t="s">
        <v>23</v>
      </c>
      <c r="T3" s="72" t="s">
        <v>24</v>
      </c>
      <c r="U3" s="75" t="s">
        <v>25</v>
      </c>
      <c r="W3" s="23" t="s">
        <v>18</v>
      </c>
      <c r="X3" s="24" t="s">
        <v>31</v>
      </c>
      <c r="Y3" s="24" t="s">
        <v>31</v>
      </c>
      <c r="Z3" s="25" t="s">
        <v>32</v>
      </c>
      <c r="AA3" s="25" t="s">
        <v>33</v>
      </c>
      <c r="AB3" s="25" t="s">
        <v>15</v>
      </c>
      <c r="AC3" s="26" t="s">
        <v>34</v>
      </c>
    </row>
    <row r="4" spans="1:29" s="1" customFormat="1" ht="15.6" x14ac:dyDescent="0.35">
      <c r="A4" s="3" t="s">
        <v>19</v>
      </c>
      <c r="B4" s="4" t="s">
        <v>21</v>
      </c>
      <c r="C4" s="10" t="s">
        <v>1</v>
      </c>
      <c r="D4" s="76" t="s">
        <v>1</v>
      </c>
      <c r="E4" s="10" t="s">
        <v>29</v>
      </c>
      <c r="F4" s="10" t="s">
        <v>55</v>
      </c>
      <c r="G4" s="4" t="s">
        <v>4</v>
      </c>
      <c r="H4" s="4" t="s">
        <v>6</v>
      </c>
      <c r="I4" s="15" t="s">
        <v>7</v>
      </c>
      <c r="J4" s="38" t="s">
        <v>38</v>
      </c>
      <c r="K4" s="41" t="s">
        <v>39</v>
      </c>
      <c r="L4" s="38" t="s">
        <v>12</v>
      </c>
      <c r="M4" s="38" t="s">
        <v>12</v>
      </c>
      <c r="N4" s="38" t="s">
        <v>12</v>
      </c>
      <c r="O4" s="4" t="s">
        <v>13</v>
      </c>
      <c r="P4" s="15" t="s">
        <v>13</v>
      </c>
      <c r="Q4" s="15" t="s">
        <v>14</v>
      </c>
      <c r="R4" s="15" t="s">
        <v>7</v>
      </c>
      <c r="S4" s="15" t="s">
        <v>22</v>
      </c>
      <c r="T4" s="15" t="s">
        <v>22</v>
      </c>
      <c r="U4" s="77" t="s">
        <v>22</v>
      </c>
      <c r="W4" s="27" t="s">
        <v>19</v>
      </c>
      <c r="X4" s="28" t="s">
        <v>19</v>
      </c>
      <c r="Y4" s="28" t="s">
        <v>35</v>
      </c>
      <c r="Z4" s="29" t="s">
        <v>7</v>
      </c>
      <c r="AA4" s="29" t="s">
        <v>13</v>
      </c>
      <c r="AB4" s="29" t="s">
        <v>7</v>
      </c>
      <c r="AC4" s="30" t="s">
        <v>36</v>
      </c>
    </row>
    <row r="5" spans="1:29" x14ac:dyDescent="0.3">
      <c r="A5" s="54" t="s">
        <v>40</v>
      </c>
      <c r="B5" s="6">
        <v>1</v>
      </c>
      <c r="C5" s="51">
        <f>658.5</f>
        <v>658.5</v>
      </c>
      <c r="D5" s="51">
        <f>H22-3.5</f>
        <v>656.4</v>
      </c>
      <c r="E5" s="11">
        <f>C5-D5</f>
        <v>2.1000000000000227</v>
      </c>
      <c r="F5" s="11">
        <f>1.4</f>
        <v>1.4</v>
      </c>
      <c r="G5" s="42" t="s">
        <v>26</v>
      </c>
      <c r="H5" s="42" t="s">
        <v>27</v>
      </c>
      <c r="I5" s="66">
        <v>0.2</v>
      </c>
      <c r="J5" s="43">
        <v>10</v>
      </c>
      <c r="K5" s="44">
        <v>1.25</v>
      </c>
      <c r="L5" s="43">
        <v>15</v>
      </c>
      <c r="M5" s="43">
        <f>31+15</f>
        <v>46</v>
      </c>
      <c r="N5" s="62">
        <v>4</v>
      </c>
      <c r="O5" s="57">
        <v>2000</v>
      </c>
      <c r="P5" s="16">
        <f>IF(H5="Cohesive",0.01*(L5/M5)^-2*(N5/100)^1.3*O5^0.4,I5*0.020885434273039)</f>
        <v>4.1770868546078003E-3</v>
      </c>
      <c r="Q5" s="16">
        <f>IF(H5="Cohesive",P5/0.020885434273039,I5)</f>
        <v>0.2</v>
      </c>
      <c r="R5" s="16">
        <f>Q5</f>
        <v>0.2</v>
      </c>
      <c r="S5" s="16">
        <f>IF(H5="Cohesive",4.5-3/1.07^N5,1.2*(1.83333+LOG(I5)))</f>
        <v>1.3612319947967773</v>
      </c>
      <c r="T5" s="16">
        <f>13/S5^0.309-7.1363</f>
        <v>4.6820900306867355</v>
      </c>
      <c r="U5" s="78">
        <f>7.377777-((1-(S5-4.5)^2/3.57^2)*10.377777^2)^0.5</f>
        <v>2.4333838877964222</v>
      </c>
      <c r="W5" s="34" t="str">
        <f t="shared" ref="W5:W11" si="0">IF(A5=A4,"",A5)</f>
        <v>B-001-0-23</v>
      </c>
      <c r="X5" s="31" t="s">
        <v>47</v>
      </c>
      <c r="Y5" s="31" t="str">
        <f>_xlfn.CONCAT(C5,"' - ",D5,"'")</f>
        <v>658.5' - 656.4'</v>
      </c>
      <c r="Z5" s="32">
        <f>I5</f>
        <v>0.2</v>
      </c>
      <c r="AA5" s="32">
        <f>P5</f>
        <v>4.1770868546078003E-3</v>
      </c>
      <c r="AB5" s="32">
        <f>R5</f>
        <v>0.2</v>
      </c>
      <c r="AC5" s="33">
        <f>S5</f>
        <v>1.3612319947967773</v>
      </c>
    </row>
    <row r="6" spans="1:29" x14ac:dyDescent="0.3">
      <c r="A6" t="str">
        <f t="shared" ref="A6:A20" si="1">A5</f>
        <v>B-001-0-23</v>
      </c>
      <c r="B6" s="2">
        <f>B5+1</f>
        <v>2</v>
      </c>
      <c r="C6" s="52">
        <f>D5</f>
        <v>656.4</v>
      </c>
      <c r="D6" s="52">
        <f>H22-6</f>
        <v>653.9</v>
      </c>
      <c r="E6" s="8">
        <f t="shared" ref="E6:E12" si="2">C6-D6</f>
        <v>2.5</v>
      </c>
      <c r="F6" s="8">
        <f>F5+E5</f>
        <v>3.5000000000000226</v>
      </c>
      <c r="G6" s="45" t="s">
        <v>26</v>
      </c>
      <c r="H6" s="45" t="s">
        <v>27</v>
      </c>
      <c r="I6" s="56">
        <v>0.2</v>
      </c>
      <c r="J6" s="47">
        <v>9</v>
      </c>
      <c r="K6" s="48">
        <v>1.75</v>
      </c>
      <c r="L6" s="47">
        <v>22</v>
      </c>
      <c r="M6" s="47">
        <f>45+27</f>
        <v>72</v>
      </c>
      <c r="N6" s="47">
        <v>7</v>
      </c>
      <c r="O6" s="2">
        <f>MIN(J6*250,K6*2000)</f>
        <v>2250</v>
      </c>
      <c r="P6" s="13">
        <f t="shared" ref="P6:P8" si="3">IF(H6="Cohesive",0.01*(L6/M6)^-2*(N6/100)^1.3*O6^0.4,I6*0.020885434273039)</f>
        <v>4.1770868546078003E-3</v>
      </c>
      <c r="Q6" s="13">
        <f t="shared" ref="Q6:Q8" si="4">IF(H6="Cohesive",P6/0.020885434273039,I6)</f>
        <v>0.2</v>
      </c>
      <c r="R6" s="13">
        <f t="shared" ref="R6:R12" si="5">Q6</f>
        <v>0.2</v>
      </c>
      <c r="S6" s="13">
        <f t="shared" ref="S6:S7" si="6">IF(H6="Cohesive",4.5-3/1.07^N6,1.2*(1.83333+LOG(I6)))</f>
        <v>1.3612319947967773</v>
      </c>
      <c r="T6" s="13">
        <f t="shared" ref="T6:T12" si="7">13/S6^0.309-7.1363</f>
        <v>4.6820900306867355</v>
      </c>
      <c r="U6" s="79">
        <f t="shared" ref="U6:U12" si="8">7.377777-((1-(S6-4.5)^2/3.57^2)*10.377777^2)^0.5</f>
        <v>2.4333838877964222</v>
      </c>
      <c r="W6" s="35" t="str">
        <f t="shared" si="0"/>
        <v/>
      </c>
      <c r="X6" s="31" t="s">
        <v>49</v>
      </c>
      <c r="Y6" s="31" t="str">
        <f t="shared" ref="Y6:Y20" si="9">_xlfn.CONCAT(C6,"' - ",D6,"'")</f>
        <v>656.4' - 653.9'</v>
      </c>
      <c r="Z6" s="32">
        <f t="shared" ref="Z6:Z12" si="10">I6</f>
        <v>0.2</v>
      </c>
      <c r="AA6" s="32">
        <f t="shared" ref="AA6:AA12" si="11">P6</f>
        <v>4.1770868546078003E-3</v>
      </c>
      <c r="AB6" s="32">
        <f t="shared" ref="AB6:AC12" si="12">R6</f>
        <v>0.2</v>
      </c>
      <c r="AC6" s="33">
        <f t="shared" si="12"/>
        <v>1.3612319947967773</v>
      </c>
    </row>
    <row r="7" spans="1:29" x14ac:dyDescent="0.3">
      <c r="A7" t="str">
        <f t="shared" si="1"/>
        <v>B-001-0-23</v>
      </c>
      <c r="B7" s="2">
        <f t="shared" ref="B7:B11" si="13">B6+1</f>
        <v>3</v>
      </c>
      <c r="C7" s="52">
        <f>D6</f>
        <v>653.9</v>
      </c>
      <c r="D7" s="52">
        <f>H22-8</f>
        <v>651.9</v>
      </c>
      <c r="E7" s="8">
        <f t="shared" si="2"/>
        <v>2</v>
      </c>
      <c r="F7" s="8">
        <f t="shared" ref="F7:F12" si="14">F6+E6</f>
        <v>6.0000000000000231</v>
      </c>
      <c r="G7" s="45" t="s">
        <v>26</v>
      </c>
      <c r="H7" s="45" t="s">
        <v>27</v>
      </c>
      <c r="I7" s="56">
        <v>0.2</v>
      </c>
      <c r="J7" s="47">
        <v>13</v>
      </c>
      <c r="K7" s="48">
        <v>3.5</v>
      </c>
      <c r="L7" s="47">
        <v>20</v>
      </c>
      <c r="M7" s="55">
        <f>M8</f>
        <v>41</v>
      </c>
      <c r="N7" s="55">
        <v>4</v>
      </c>
      <c r="O7" s="2">
        <f t="shared" ref="O7:O10" si="15">MIN(J7*250,K7*2000)</f>
        <v>3250</v>
      </c>
      <c r="P7" s="13">
        <f t="shared" si="3"/>
        <v>4.1770868546078003E-3</v>
      </c>
      <c r="Q7" s="13">
        <f t="shared" si="4"/>
        <v>0.2</v>
      </c>
      <c r="R7" s="13">
        <f t="shared" si="5"/>
        <v>0.2</v>
      </c>
      <c r="S7" s="13">
        <f>IF(H7="Cohesive",4.5-3/1.07^N7,1.2*(1.83333+LOG(I7)))</f>
        <v>1.3612319947967773</v>
      </c>
      <c r="T7" s="13">
        <f t="shared" si="7"/>
        <v>4.6820900306867355</v>
      </c>
      <c r="U7" s="79">
        <f t="shared" si="8"/>
        <v>2.4333838877964222</v>
      </c>
      <c r="W7" s="35" t="str">
        <f t="shared" si="0"/>
        <v/>
      </c>
      <c r="X7" s="31" t="s">
        <v>48</v>
      </c>
      <c r="Y7" s="31" t="str">
        <f t="shared" si="9"/>
        <v>653.9' - 651.9'</v>
      </c>
      <c r="Z7" s="32">
        <f t="shared" si="10"/>
        <v>0.2</v>
      </c>
      <c r="AA7" s="32">
        <f t="shared" si="11"/>
        <v>4.1770868546078003E-3</v>
      </c>
      <c r="AB7" s="32">
        <f t="shared" si="12"/>
        <v>0.2</v>
      </c>
      <c r="AC7" s="33">
        <f t="shared" si="12"/>
        <v>1.3612319947967773</v>
      </c>
    </row>
    <row r="8" spans="1:29" x14ac:dyDescent="0.3">
      <c r="A8" t="str">
        <f t="shared" si="1"/>
        <v>B-001-0-23</v>
      </c>
      <c r="B8" s="2">
        <f t="shared" si="13"/>
        <v>4</v>
      </c>
      <c r="C8" s="52">
        <f>D7</f>
        <v>651.9</v>
      </c>
      <c r="D8" s="52">
        <f>H22-9.5</f>
        <v>650.4</v>
      </c>
      <c r="E8" s="8">
        <f t="shared" si="2"/>
        <v>1.5</v>
      </c>
      <c r="F8" s="8">
        <f t="shared" si="14"/>
        <v>8.0000000000000231</v>
      </c>
      <c r="G8" s="45" t="s">
        <v>26</v>
      </c>
      <c r="H8" s="45" t="s">
        <v>27</v>
      </c>
      <c r="I8" s="56">
        <v>0.2</v>
      </c>
      <c r="J8" s="47">
        <v>4</v>
      </c>
      <c r="K8" s="48">
        <v>0.25</v>
      </c>
      <c r="L8" s="47">
        <v>23</v>
      </c>
      <c r="M8" s="47">
        <f>25+16</f>
        <v>41</v>
      </c>
      <c r="N8" s="55">
        <v>4</v>
      </c>
      <c r="O8" s="2">
        <f t="shared" si="15"/>
        <v>500</v>
      </c>
      <c r="P8" s="13">
        <f>IF(H8="Cohesive",0.01*(L8/M8)^-2*(N8/100)^1.3*O8^0.4,I8*0.020885434273039)</f>
        <v>4.1770868546078003E-3</v>
      </c>
      <c r="Q8" s="13">
        <f>IF(H8="Cohesive",P8/0.020885434273039,I8)</f>
        <v>0.2</v>
      </c>
      <c r="R8" s="13">
        <f t="shared" si="5"/>
        <v>0.2</v>
      </c>
      <c r="S8" s="13">
        <f>IF(H8="Cohesive",4.5-3/1.07^N8,1.2*(1.83333+LOG(I8)))</f>
        <v>1.3612319947967773</v>
      </c>
      <c r="T8" s="13">
        <f t="shared" si="7"/>
        <v>4.6820900306867355</v>
      </c>
      <c r="U8" s="79">
        <f t="shared" si="8"/>
        <v>2.4333838877964222</v>
      </c>
      <c r="W8" s="35" t="str">
        <f t="shared" si="0"/>
        <v/>
      </c>
      <c r="X8" s="31" t="s">
        <v>51</v>
      </c>
      <c r="Y8" s="31" t="str">
        <f t="shared" si="9"/>
        <v>651.9' - 650.4'</v>
      </c>
      <c r="Z8" s="32">
        <f t="shared" si="10"/>
        <v>0.2</v>
      </c>
      <c r="AA8" s="32">
        <f t="shared" si="11"/>
        <v>4.1770868546078003E-3</v>
      </c>
      <c r="AB8" s="32">
        <f t="shared" si="12"/>
        <v>0.2</v>
      </c>
      <c r="AC8" s="33">
        <f t="shared" si="12"/>
        <v>1.3612319947967773</v>
      </c>
    </row>
    <row r="9" spans="1:29" x14ac:dyDescent="0.3">
      <c r="A9" t="str">
        <f t="shared" si="1"/>
        <v>B-001-0-23</v>
      </c>
      <c r="B9" s="2">
        <f t="shared" si="13"/>
        <v>5</v>
      </c>
      <c r="C9" s="52">
        <f t="shared" ref="C9:C11" si="16">D8</f>
        <v>650.4</v>
      </c>
      <c r="D9" s="52">
        <f>H22-11</f>
        <v>648.9</v>
      </c>
      <c r="E9" s="8">
        <f t="shared" si="2"/>
        <v>1.5</v>
      </c>
      <c r="F9" s="8">
        <f t="shared" si="14"/>
        <v>9.5000000000000231</v>
      </c>
      <c r="G9" s="45" t="s">
        <v>26</v>
      </c>
      <c r="H9" s="45" t="s">
        <v>27</v>
      </c>
      <c r="I9" s="56">
        <v>0.2</v>
      </c>
      <c r="J9" s="59">
        <v>1</v>
      </c>
      <c r="K9" s="81">
        <v>0.25</v>
      </c>
      <c r="L9" s="47">
        <v>24</v>
      </c>
      <c r="M9" s="47">
        <f>32+24</f>
        <v>56</v>
      </c>
      <c r="N9" s="47">
        <v>6</v>
      </c>
      <c r="O9" s="2">
        <f>MIN(J9*250,K9*2000)</f>
        <v>250</v>
      </c>
      <c r="P9" s="13">
        <f t="shared" ref="P9:P15" si="17">IF(H9="Cohesive",0.01*(L9/M9)^-2*(N9/100)^1.3*O9^0.4,I9*0.020885434273039)</f>
        <v>4.1770868546078003E-3</v>
      </c>
      <c r="Q9" s="13">
        <f t="shared" ref="Q9:Q15" si="18">IF(H9="Cohesive",P9/0.020885434273039,I9)</f>
        <v>0.2</v>
      </c>
      <c r="R9" s="13">
        <f t="shared" si="5"/>
        <v>0.2</v>
      </c>
      <c r="S9" s="13">
        <f t="shared" ref="S9:S14" si="19">IF(H9="Cohesive",4.5-3/1.07^N9,1.2*(1.83333+LOG(I9)))</f>
        <v>1.3612319947967773</v>
      </c>
      <c r="T9" s="13">
        <f t="shared" si="7"/>
        <v>4.6820900306867355</v>
      </c>
      <c r="U9" s="79">
        <f t="shared" si="8"/>
        <v>2.4333838877964222</v>
      </c>
      <c r="W9" s="35" t="str">
        <f t="shared" si="0"/>
        <v/>
      </c>
      <c r="X9" s="31" t="s">
        <v>52</v>
      </c>
      <c r="Y9" s="31" t="str">
        <f t="shared" si="9"/>
        <v>650.4' - 648.9'</v>
      </c>
      <c r="Z9" s="32">
        <f t="shared" si="10"/>
        <v>0.2</v>
      </c>
      <c r="AA9" s="82">
        <f t="shared" si="11"/>
        <v>4.1770868546078003E-3</v>
      </c>
      <c r="AB9" s="82">
        <f t="shared" si="12"/>
        <v>0.2</v>
      </c>
      <c r="AC9" s="33">
        <f t="shared" si="12"/>
        <v>1.3612319947967773</v>
      </c>
    </row>
    <row r="10" spans="1:29" x14ac:dyDescent="0.3">
      <c r="A10" t="str">
        <f t="shared" si="1"/>
        <v>B-001-0-23</v>
      </c>
      <c r="B10" s="2">
        <f t="shared" si="13"/>
        <v>6</v>
      </c>
      <c r="C10" s="52">
        <f t="shared" si="16"/>
        <v>648.9</v>
      </c>
      <c r="D10" s="52">
        <f>H22-12.5</f>
        <v>647.4</v>
      </c>
      <c r="E10" s="8">
        <f t="shared" si="2"/>
        <v>1.5</v>
      </c>
      <c r="F10" s="8">
        <f t="shared" si="14"/>
        <v>11.000000000000023</v>
      </c>
      <c r="G10" s="45" t="s">
        <v>26</v>
      </c>
      <c r="H10" s="45" t="s">
        <v>27</v>
      </c>
      <c r="I10" s="56">
        <v>0.2</v>
      </c>
      <c r="J10" s="47">
        <v>9</v>
      </c>
      <c r="K10" s="48">
        <v>1.25</v>
      </c>
      <c r="L10" s="47">
        <v>22</v>
      </c>
      <c r="M10" s="47">
        <f>27+22</f>
        <v>49</v>
      </c>
      <c r="N10" s="47">
        <v>5</v>
      </c>
      <c r="O10" s="2">
        <f>MIN(J10*250,K10*2000)</f>
        <v>2250</v>
      </c>
      <c r="P10" s="13">
        <f t="shared" si="17"/>
        <v>4.1770868546078003E-3</v>
      </c>
      <c r="Q10" s="13">
        <f t="shared" si="18"/>
        <v>0.2</v>
      </c>
      <c r="R10" s="13">
        <f t="shared" si="5"/>
        <v>0.2</v>
      </c>
      <c r="S10" s="13">
        <f t="shared" si="19"/>
        <v>1.3612319947967773</v>
      </c>
      <c r="T10" s="13">
        <f t="shared" si="7"/>
        <v>4.6820900306867355</v>
      </c>
      <c r="U10" s="79">
        <f t="shared" si="8"/>
        <v>2.4333838877964222</v>
      </c>
      <c r="W10" s="35" t="str">
        <f t="shared" si="0"/>
        <v/>
      </c>
      <c r="X10" s="31" t="s">
        <v>53</v>
      </c>
      <c r="Y10" s="31" t="str">
        <f t="shared" si="9"/>
        <v>648.9' - 647.4'</v>
      </c>
      <c r="Z10" s="32">
        <f t="shared" si="10"/>
        <v>0.2</v>
      </c>
      <c r="AA10" s="32">
        <f t="shared" si="11"/>
        <v>4.1770868546078003E-3</v>
      </c>
      <c r="AB10" s="32">
        <f t="shared" si="12"/>
        <v>0.2</v>
      </c>
      <c r="AC10" s="33">
        <f t="shared" si="12"/>
        <v>1.3612319947967773</v>
      </c>
    </row>
    <row r="11" spans="1:29" x14ac:dyDescent="0.3">
      <c r="A11" t="str">
        <f t="shared" si="1"/>
        <v>B-001-0-23</v>
      </c>
      <c r="B11" s="2">
        <f t="shared" si="13"/>
        <v>7</v>
      </c>
      <c r="C11" s="52">
        <f t="shared" si="16"/>
        <v>647.4</v>
      </c>
      <c r="D11" s="52">
        <f>H22-14</f>
        <v>645.9</v>
      </c>
      <c r="E11" s="8">
        <f t="shared" si="2"/>
        <v>1.5</v>
      </c>
      <c r="F11" s="8">
        <f t="shared" si="14"/>
        <v>12.500000000000023</v>
      </c>
      <c r="G11" s="45" t="s">
        <v>26</v>
      </c>
      <c r="H11" s="45" t="s">
        <v>27</v>
      </c>
      <c r="I11" s="56">
        <v>0.2</v>
      </c>
      <c r="J11" s="47">
        <v>3</v>
      </c>
      <c r="K11" s="48">
        <v>1.25</v>
      </c>
      <c r="L11" s="47">
        <v>24</v>
      </c>
      <c r="M11" s="47">
        <f>25+18</f>
        <v>43</v>
      </c>
      <c r="N11" s="47">
        <v>4</v>
      </c>
      <c r="O11" s="2">
        <f>MIN(J11*250,K11*2000)</f>
        <v>750</v>
      </c>
      <c r="P11" s="13">
        <f t="shared" si="17"/>
        <v>4.1770868546078003E-3</v>
      </c>
      <c r="Q11" s="13">
        <f t="shared" si="18"/>
        <v>0.2</v>
      </c>
      <c r="R11" s="13">
        <f t="shared" si="5"/>
        <v>0.2</v>
      </c>
      <c r="S11" s="13">
        <f t="shared" si="19"/>
        <v>1.3612319947967773</v>
      </c>
      <c r="T11" s="13">
        <f t="shared" si="7"/>
        <v>4.6820900306867355</v>
      </c>
      <c r="U11" s="79">
        <f t="shared" si="8"/>
        <v>2.4333838877964222</v>
      </c>
      <c r="W11" s="35" t="str">
        <f t="shared" si="0"/>
        <v/>
      </c>
      <c r="X11" s="31" t="s">
        <v>54</v>
      </c>
      <c r="Y11" s="31" t="str">
        <f t="shared" si="9"/>
        <v>647.4' - 645.9'</v>
      </c>
      <c r="Z11" s="32">
        <f t="shared" si="10"/>
        <v>0.2</v>
      </c>
      <c r="AA11" s="32">
        <f t="shared" si="11"/>
        <v>4.1770868546078003E-3</v>
      </c>
      <c r="AB11" s="32">
        <f t="shared" si="12"/>
        <v>0.2</v>
      </c>
      <c r="AC11" s="33">
        <f t="shared" si="12"/>
        <v>1.3612319947967773</v>
      </c>
    </row>
    <row r="12" spans="1:29" x14ac:dyDescent="0.3">
      <c r="A12" t="str">
        <f t="shared" si="1"/>
        <v>B-001-0-23</v>
      </c>
      <c r="B12" s="2">
        <v>8</v>
      </c>
      <c r="C12" s="52">
        <f>D11</f>
        <v>645.9</v>
      </c>
      <c r="D12" s="52">
        <f>H22-16</f>
        <v>643.9</v>
      </c>
      <c r="E12" s="8">
        <f t="shared" si="2"/>
        <v>2</v>
      </c>
      <c r="F12" s="8">
        <f t="shared" si="14"/>
        <v>14.000000000000023</v>
      </c>
      <c r="G12" s="45" t="s">
        <v>26</v>
      </c>
      <c r="H12" s="45" t="s">
        <v>27</v>
      </c>
      <c r="I12" s="56">
        <v>0.2</v>
      </c>
      <c r="J12" s="47">
        <v>4</v>
      </c>
      <c r="K12" s="48">
        <v>0.25</v>
      </c>
      <c r="L12" s="47">
        <v>27</v>
      </c>
      <c r="M12" s="47">
        <f>21+19</f>
        <v>40</v>
      </c>
      <c r="N12" s="47">
        <v>7</v>
      </c>
      <c r="O12" s="2">
        <f>MIN(J12*250,K12*2000)</f>
        <v>500</v>
      </c>
      <c r="P12" s="13">
        <f t="shared" si="17"/>
        <v>4.1770868546078003E-3</v>
      </c>
      <c r="Q12" s="13">
        <f t="shared" si="18"/>
        <v>0.2</v>
      </c>
      <c r="R12" s="13">
        <f t="shared" si="5"/>
        <v>0.2</v>
      </c>
      <c r="S12" s="13">
        <f t="shared" si="19"/>
        <v>1.3612319947967773</v>
      </c>
      <c r="T12" s="13">
        <f t="shared" si="7"/>
        <v>4.6820900306867355</v>
      </c>
      <c r="U12" s="79">
        <f t="shared" si="8"/>
        <v>2.4333838877964222</v>
      </c>
      <c r="W12" s="35"/>
      <c r="X12" s="31" t="s">
        <v>50</v>
      </c>
      <c r="Y12" s="31" t="str">
        <f t="shared" si="9"/>
        <v>645.9' - 643.9'</v>
      </c>
      <c r="Z12" s="32">
        <f t="shared" si="10"/>
        <v>0.2</v>
      </c>
      <c r="AA12" s="32">
        <f t="shared" si="11"/>
        <v>4.1770868546078003E-3</v>
      </c>
      <c r="AB12" s="32">
        <f t="shared" si="12"/>
        <v>0.2</v>
      </c>
      <c r="AC12" s="33">
        <f t="shared" si="12"/>
        <v>1.3612319947967773</v>
      </c>
    </row>
    <row r="13" spans="1:29" x14ac:dyDescent="0.3">
      <c r="A13" s="54" t="s">
        <v>43</v>
      </c>
      <c r="B13" s="6">
        <v>1</v>
      </c>
      <c r="C13" s="51">
        <f>658.7</f>
        <v>658.7</v>
      </c>
      <c r="D13" s="51">
        <f>H23-3.5</f>
        <v>656.6</v>
      </c>
      <c r="E13" s="11">
        <f>C13-D13</f>
        <v>2.1000000000000227</v>
      </c>
      <c r="F13" s="11">
        <f>660.1-658.7</f>
        <v>1.3999999999999773</v>
      </c>
      <c r="G13" s="42" t="s">
        <v>28</v>
      </c>
      <c r="H13" s="42" t="s">
        <v>27</v>
      </c>
      <c r="I13" s="58">
        <v>0.42</v>
      </c>
      <c r="J13" s="43">
        <v>19</v>
      </c>
      <c r="K13" s="44">
        <v>0</v>
      </c>
      <c r="L13" s="43">
        <v>14</v>
      </c>
      <c r="M13" s="43">
        <v>29</v>
      </c>
      <c r="N13" s="62">
        <v>4</v>
      </c>
      <c r="O13" s="57">
        <v>0</v>
      </c>
      <c r="P13" s="16">
        <f t="shared" si="17"/>
        <v>8.7718823946763801E-3</v>
      </c>
      <c r="Q13" s="16">
        <f t="shared" si="18"/>
        <v>0.42</v>
      </c>
      <c r="R13" s="16">
        <f>Q13</f>
        <v>0.42</v>
      </c>
      <c r="S13" s="16">
        <f t="shared" si="19"/>
        <v>1.7478951484774805</v>
      </c>
      <c r="T13" s="16">
        <f>13/S13^0.309-7.1363</f>
        <v>3.803417339481209</v>
      </c>
      <c r="U13" s="78">
        <f>7.377777-((1-(S13-4.5)^2/3.57^2)*10.377777^2)^0.5</f>
        <v>0.76755901681118388</v>
      </c>
      <c r="W13" s="34" t="str">
        <f>IF(A13=A11,"",A13)</f>
        <v>B-002-0-23</v>
      </c>
      <c r="X13" s="31" t="s">
        <v>47</v>
      </c>
      <c r="Y13" s="31" t="str">
        <f t="shared" si="9"/>
        <v>658.7' - 656.6'</v>
      </c>
      <c r="Z13" s="32">
        <f>I13</f>
        <v>0.42</v>
      </c>
      <c r="AA13" s="82">
        <f>P13</f>
        <v>8.7718823946763801E-3</v>
      </c>
      <c r="AB13" s="82">
        <f>R13</f>
        <v>0.42</v>
      </c>
      <c r="AC13" s="33">
        <f>S13</f>
        <v>1.7478951484774805</v>
      </c>
    </row>
    <row r="14" spans="1:29" x14ac:dyDescent="0.3">
      <c r="A14" t="str">
        <f t="shared" si="1"/>
        <v>B-002-0-23</v>
      </c>
      <c r="B14" s="2">
        <f>B13+1</f>
        <v>2</v>
      </c>
      <c r="C14" s="52">
        <f>D13</f>
        <v>656.6</v>
      </c>
      <c r="D14" s="52">
        <f>H23-6</f>
        <v>654.1</v>
      </c>
      <c r="E14" s="8">
        <f t="shared" ref="E14:E20" si="20">C14-D14</f>
        <v>2.5</v>
      </c>
      <c r="F14" s="8">
        <f>F13+E13</f>
        <v>3.5</v>
      </c>
      <c r="G14" s="45" t="s">
        <v>26</v>
      </c>
      <c r="H14" s="45" t="s">
        <v>27</v>
      </c>
      <c r="I14" s="56">
        <v>0.2</v>
      </c>
      <c r="J14" s="47">
        <v>7</v>
      </c>
      <c r="K14" s="48">
        <v>1.25</v>
      </c>
      <c r="L14" s="47">
        <v>27</v>
      </c>
      <c r="M14" s="47">
        <f>48+25</f>
        <v>73</v>
      </c>
      <c r="N14" s="64">
        <v>7</v>
      </c>
      <c r="O14" s="2">
        <f t="shared" ref="O14:O17" si="21">MIN(J14*250,K14*2000)</f>
        <v>1750</v>
      </c>
      <c r="P14" s="13">
        <f t="shared" si="17"/>
        <v>4.1770868546078003E-3</v>
      </c>
      <c r="Q14" s="13">
        <f t="shared" si="18"/>
        <v>0.2</v>
      </c>
      <c r="R14" s="13">
        <f t="shared" ref="R14:R20" si="22">Q14</f>
        <v>0.2</v>
      </c>
      <c r="S14" s="13">
        <f t="shared" si="19"/>
        <v>1.3612319947967773</v>
      </c>
      <c r="T14" s="13">
        <f t="shared" ref="T14:T20" si="23">13/S14^0.309-7.1363</f>
        <v>4.6820900306867355</v>
      </c>
      <c r="U14" s="79">
        <f t="shared" ref="U14:U20" si="24">7.377777-((1-(S14-4.5)^2/3.57^2)*10.377777^2)^0.5</f>
        <v>2.4333838877964222</v>
      </c>
      <c r="W14" s="35" t="str">
        <f t="shared" ref="W14:W19" si="25">IF(A14=A13,"",A14)</f>
        <v/>
      </c>
      <c r="X14" s="31" t="s">
        <v>49</v>
      </c>
      <c r="Y14" s="31" t="str">
        <f t="shared" si="9"/>
        <v>656.6' - 654.1'</v>
      </c>
      <c r="Z14" s="32">
        <f t="shared" ref="Z14:Z20" si="26">I14</f>
        <v>0.2</v>
      </c>
      <c r="AA14" s="32">
        <f t="shared" ref="AA14:AA20" si="27">P14</f>
        <v>4.1770868546078003E-3</v>
      </c>
      <c r="AB14" s="32">
        <f t="shared" ref="AB14:AC20" si="28">R14</f>
        <v>0.2</v>
      </c>
      <c r="AC14" s="33">
        <f t="shared" si="28"/>
        <v>1.3612319947967773</v>
      </c>
    </row>
    <row r="15" spans="1:29" x14ac:dyDescent="0.3">
      <c r="A15" t="str">
        <f t="shared" si="1"/>
        <v>B-002-0-23</v>
      </c>
      <c r="B15" s="2">
        <f t="shared" ref="B15:B20" si="29">B14+1</f>
        <v>3</v>
      </c>
      <c r="C15" s="52">
        <f>D14</f>
        <v>654.1</v>
      </c>
      <c r="D15" s="52">
        <f>H23-8</f>
        <v>652.1</v>
      </c>
      <c r="E15" s="8">
        <f t="shared" si="20"/>
        <v>2</v>
      </c>
      <c r="F15" s="8">
        <f t="shared" ref="F15:F20" si="30">F14+E14</f>
        <v>6</v>
      </c>
      <c r="G15" s="45" t="s">
        <v>26</v>
      </c>
      <c r="H15" s="45" t="s">
        <v>27</v>
      </c>
      <c r="I15" s="56">
        <v>0.2</v>
      </c>
      <c r="J15" s="47">
        <v>6</v>
      </c>
      <c r="K15" s="48">
        <v>0.75</v>
      </c>
      <c r="L15" s="55">
        <v>27</v>
      </c>
      <c r="M15" s="55">
        <f>M14</f>
        <v>73</v>
      </c>
      <c r="N15" s="55">
        <v>7</v>
      </c>
      <c r="O15" s="2">
        <f t="shared" si="21"/>
        <v>1500</v>
      </c>
      <c r="P15" s="13">
        <f t="shared" si="17"/>
        <v>4.1770868546078003E-3</v>
      </c>
      <c r="Q15" s="13">
        <f t="shared" si="18"/>
        <v>0.2</v>
      </c>
      <c r="R15" s="13">
        <f t="shared" si="22"/>
        <v>0.2</v>
      </c>
      <c r="S15" s="13">
        <f>IF(H15="Cohesive",4.5-3/1.07^N15,1.2*(1.83333+LOG(I15)))</f>
        <v>1.3612319947967773</v>
      </c>
      <c r="T15" s="13">
        <f t="shared" si="23"/>
        <v>4.6820900306867355</v>
      </c>
      <c r="U15" s="79">
        <f t="shared" si="24"/>
        <v>2.4333838877964222</v>
      </c>
      <c r="W15" s="35" t="str">
        <f t="shared" si="25"/>
        <v/>
      </c>
      <c r="X15" s="31" t="s">
        <v>48</v>
      </c>
      <c r="Y15" s="31" t="str">
        <f t="shared" si="9"/>
        <v>654.1' - 652.1'</v>
      </c>
      <c r="Z15" s="32">
        <f t="shared" si="26"/>
        <v>0.2</v>
      </c>
      <c r="AA15" s="32">
        <f t="shared" si="27"/>
        <v>4.1770868546078003E-3</v>
      </c>
      <c r="AB15" s="32">
        <f t="shared" si="28"/>
        <v>0.2</v>
      </c>
      <c r="AC15" s="33">
        <f t="shared" si="28"/>
        <v>1.3612319947967773</v>
      </c>
    </row>
    <row r="16" spans="1:29" x14ac:dyDescent="0.3">
      <c r="A16" t="str">
        <f t="shared" si="1"/>
        <v>B-002-0-23</v>
      </c>
      <c r="B16" s="2">
        <f t="shared" si="29"/>
        <v>4</v>
      </c>
      <c r="C16" s="52">
        <f>D15</f>
        <v>652.1</v>
      </c>
      <c r="D16" s="52">
        <f>H23-9.5</f>
        <v>650.6</v>
      </c>
      <c r="E16" s="8">
        <f t="shared" si="20"/>
        <v>1.5</v>
      </c>
      <c r="F16" s="8">
        <f t="shared" si="30"/>
        <v>8</v>
      </c>
      <c r="G16" s="45" t="s">
        <v>26</v>
      </c>
      <c r="H16" s="45" t="s">
        <v>27</v>
      </c>
      <c r="I16" s="56">
        <v>0.2</v>
      </c>
      <c r="J16" s="47">
        <v>26</v>
      </c>
      <c r="K16" s="48"/>
      <c r="L16" s="47">
        <v>14</v>
      </c>
      <c r="M16" s="47">
        <v>41</v>
      </c>
      <c r="N16" s="55">
        <v>4</v>
      </c>
      <c r="O16" s="61">
        <f>2000</f>
        <v>2000</v>
      </c>
      <c r="P16" s="13">
        <f>IF(H16="Cohesive",0.01*(L16/M16)^-2*(N16/100)^1.3*O16^0.4,I16*0.020885434273039)</f>
        <v>4.1770868546078003E-3</v>
      </c>
      <c r="Q16" s="13">
        <f>IF(H16="Cohesive",P16/0.020885434273039,I16)</f>
        <v>0.2</v>
      </c>
      <c r="R16" s="13">
        <f t="shared" si="22"/>
        <v>0.2</v>
      </c>
      <c r="S16" s="13">
        <f>IF(H16="Cohesive",4.5-3/1.07^N16,1.2*(1.83333+LOG(I16)))</f>
        <v>1.3612319947967773</v>
      </c>
      <c r="T16" s="13">
        <f t="shared" si="23"/>
        <v>4.6820900306867355</v>
      </c>
      <c r="U16" s="79">
        <f t="shared" si="24"/>
        <v>2.4333838877964222</v>
      </c>
      <c r="W16" s="35" t="str">
        <f t="shared" si="25"/>
        <v/>
      </c>
      <c r="X16" s="31" t="s">
        <v>51</v>
      </c>
      <c r="Y16" s="31" t="str">
        <f t="shared" si="9"/>
        <v>652.1' - 650.6'</v>
      </c>
      <c r="Z16" s="32">
        <f t="shared" si="26"/>
        <v>0.2</v>
      </c>
      <c r="AA16" s="32">
        <f t="shared" si="27"/>
        <v>4.1770868546078003E-3</v>
      </c>
      <c r="AB16" s="32">
        <f t="shared" si="28"/>
        <v>0.2</v>
      </c>
      <c r="AC16" s="33">
        <f t="shared" si="28"/>
        <v>1.3612319947967773</v>
      </c>
    </row>
    <row r="17" spans="1:29" x14ac:dyDescent="0.3">
      <c r="A17" t="str">
        <f t="shared" si="1"/>
        <v>B-002-0-23</v>
      </c>
      <c r="B17" s="2">
        <f t="shared" si="29"/>
        <v>5</v>
      </c>
      <c r="C17" s="52">
        <f t="shared" ref="C17:C20" si="31">D16</f>
        <v>650.6</v>
      </c>
      <c r="D17" s="52">
        <f>H23-11</f>
        <v>649.1</v>
      </c>
      <c r="E17" s="8">
        <f t="shared" si="20"/>
        <v>1.5</v>
      </c>
      <c r="F17" s="8">
        <f t="shared" si="30"/>
        <v>9.5</v>
      </c>
      <c r="G17" s="45" t="s">
        <v>26</v>
      </c>
      <c r="H17" s="45" t="s">
        <v>27</v>
      </c>
      <c r="I17" s="56">
        <v>0.2</v>
      </c>
      <c r="J17" s="47">
        <v>7</v>
      </c>
      <c r="K17" s="48">
        <v>1.75</v>
      </c>
      <c r="L17" s="47">
        <v>23</v>
      </c>
      <c r="M17" s="47">
        <f>45+22</f>
        <v>67</v>
      </c>
      <c r="N17" s="47">
        <v>7</v>
      </c>
      <c r="O17" s="2">
        <f t="shared" si="21"/>
        <v>1750</v>
      </c>
      <c r="P17" s="13">
        <f t="shared" ref="P17:P20" si="32">IF(H17="Cohesive",0.01*(L17/M17)^-2*(N17/100)^1.3*O17^0.4,I17*0.020885434273039)</f>
        <v>4.1770868546078003E-3</v>
      </c>
      <c r="Q17" s="13">
        <f t="shared" ref="Q17:Q20" si="33">IF(H17="Cohesive",P17/0.020885434273039,I17)</f>
        <v>0.2</v>
      </c>
      <c r="R17" s="13">
        <f t="shared" si="22"/>
        <v>0.2</v>
      </c>
      <c r="S17" s="13">
        <f t="shared" ref="S17:S20" si="34">IF(H17="Cohesive",4.5-3/1.07^N17,1.2*(1.83333+LOG(I17)))</f>
        <v>1.3612319947967773</v>
      </c>
      <c r="T17" s="13">
        <f t="shared" si="23"/>
        <v>4.6820900306867355</v>
      </c>
      <c r="U17" s="79">
        <f t="shared" si="24"/>
        <v>2.4333838877964222</v>
      </c>
      <c r="W17" s="35" t="str">
        <f t="shared" si="25"/>
        <v/>
      </c>
      <c r="X17" s="31" t="s">
        <v>52</v>
      </c>
      <c r="Y17" s="31" t="str">
        <f t="shared" si="9"/>
        <v>650.6' - 649.1'</v>
      </c>
      <c r="Z17" s="32">
        <f t="shared" si="26"/>
        <v>0.2</v>
      </c>
      <c r="AA17" s="32">
        <f t="shared" si="27"/>
        <v>4.1770868546078003E-3</v>
      </c>
      <c r="AB17" s="32">
        <f t="shared" si="28"/>
        <v>0.2</v>
      </c>
      <c r="AC17" s="33">
        <f t="shared" si="28"/>
        <v>1.3612319947967773</v>
      </c>
    </row>
    <row r="18" spans="1:29" x14ac:dyDescent="0.3">
      <c r="A18" t="str">
        <f>A17</f>
        <v>B-002-0-23</v>
      </c>
      <c r="B18" s="2">
        <f>B17+1</f>
        <v>6</v>
      </c>
      <c r="C18" s="52">
        <f>D17</f>
        <v>649.1</v>
      </c>
      <c r="D18" s="52">
        <f>H23-12.5</f>
        <v>647.6</v>
      </c>
      <c r="E18" s="8">
        <f t="shared" si="20"/>
        <v>1.5</v>
      </c>
      <c r="F18" s="8">
        <f t="shared" si="30"/>
        <v>11</v>
      </c>
      <c r="G18" s="45" t="s">
        <v>26</v>
      </c>
      <c r="H18" s="45" t="s">
        <v>27</v>
      </c>
      <c r="I18" s="56">
        <v>0.2</v>
      </c>
      <c r="J18" s="47">
        <v>7</v>
      </c>
      <c r="K18" s="48">
        <v>1.25</v>
      </c>
      <c r="L18" s="47">
        <v>25</v>
      </c>
      <c r="M18" s="47">
        <f>46+20</f>
        <v>66</v>
      </c>
      <c r="N18" s="47">
        <v>7</v>
      </c>
      <c r="O18" s="2">
        <f>MIN(J18*250,K18*2000)</f>
        <v>1750</v>
      </c>
      <c r="P18" s="13">
        <f t="shared" si="32"/>
        <v>4.1770868546078003E-3</v>
      </c>
      <c r="Q18" s="13">
        <f t="shared" si="33"/>
        <v>0.2</v>
      </c>
      <c r="R18" s="13">
        <f t="shared" si="22"/>
        <v>0.2</v>
      </c>
      <c r="S18" s="13">
        <f t="shared" si="34"/>
        <v>1.3612319947967773</v>
      </c>
      <c r="T18" s="13">
        <f t="shared" si="23"/>
        <v>4.6820900306867355</v>
      </c>
      <c r="U18" s="79">
        <f t="shared" si="24"/>
        <v>2.4333838877964222</v>
      </c>
      <c r="W18" s="35" t="str">
        <f t="shared" si="25"/>
        <v/>
      </c>
      <c r="X18" s="31" t="s">
        <v>53</v>
      </c>
      <c r="Y18" s="31" t="str">
        <f t="shared" si="9"/>
        <v>649.1' - 647.6'</v>
      </c>
      <c r="Z18" s="32">
        <f t="shared" si="26"/>
        <v>0.2</v>
      </c>
      <c r="AA18" s="32">
        <f t="shared" si="27"/>
        <v>4.1770868546078003E-3</v>
      </c>
      <c r="AB18" s="32">
        <f t="shared" si="28"/>
        <v>0.2</v>
      </c>
      <c r="AC18" s="33">
        <f t="shared" si="28"/>
        <v>1.3612319947967773</v>
      </c>
    </row>
    <row r="19" spans="1:29" x14ac:dyDescent="0.3">
      <c r="A19" t="str">
        <f t="shared" si="1"/>
        <v>B-002-0-23</v>
      </c>
      <c r="B19" s="2">
        <f t="shared" si="29"/>
        <v>7</v>
      </c>
      <c r="C19" s="52">
        <f t="shared" si="31"/>
        <v>647.6</v>
      </c>
      <c r="D19" s="52">
        <f>H23-14</f>
        <v>646.1</v>
      </c>
      <c r="E19" s="8">
        <f t="shared" si="20"/>
        <v>1.5</v>
      </c>
      <c r="F19" s="8">
        <f t="shared" si="30"/>
        <v>12.5</v>
      </c>
      <c r="G19" s="45" t="s">
        <v>26</v>
      </c>
      <c r="H19" s="45" t="s">
        <v>27</v>
      </c>
      <c r="I19" s="56">
        <v>0.2</v>
      </c>
      <c r="J19" s="83">
        <v>1</v>
      </c>
      <c r="K19" s="48">
        <v>0.5</v>
      </c>
      <c r="L19" s="47">
        <v>26</v>
      </c>
      <c r="M19" s="47">
        <f>37+14</f>
        <v>51</v>
      </c>
      <c r="N19" s="47">
        <v>4</v>
      </c>
      <c r="O19" s="2">
        <f>MIN(J19*250,K19*2000)</f>
        <v>250</v>
      </c>
      <c r="P19" s="13">
        <f t="shared" si="32"/>
        <v>4.1770868546078003E-3</v>
      </c>
      <c r="Q19" s="13">
        <f t="shared" si="33"/>
        <v>0.2</v>
      </c>
      <c r="R19" s="13">
        <f t="shared" si="22"/>
        <v>0.2</v>
      </c>
      <c r="S19" s="13">
        <f t="shared" si="34"/>
        <v>1.3612319947967773</v>
      </c>
      <c r="T19" s="13">
        <f t="shared" si="23"/>
        <v>4.6820900306867355</v>
      </c>
      <c r="U19" s="79">
        <f t="shared" si="24"/>
        <v>2.4333838877964222</v>
      </c>
      <c r="W19" s="35" t="str">
        <f t="shared" si="25"/>
        <v/>
      </c>
      <c r="X19" s="31" t="s">
        <v>54</v>
      </c>
      <c r="Y19" s="31" t="str">
        <f t="shared" si="9"/>
        <v>647.6' - 646.1'</v>
      </c>
      <c r="Z19" s="32">
        <f>I19</f>
        <v>0.2</v>
      </c>
      <c r="AA19" s="82">
        <f t="shared" si="27"/>
        <v>4.1770868546078003E-3</v>
      </c>
      <c r="AB19" s="82">
        <f t="shared" si="28"/>
        <v>0.2</v>
      </c>
      <c r="AC19" s="33">
        <f t="shared" si="28"/>
        <v>1.3612319947967773</v>
      </c>
    </row>
    <row r="20" spans="1:29" x14ac:dyDescent="0.3">
      <c r="A20" s="7" t="str">
        <f t="shared" si="1"/>
        <v>B-002-0-23</v>
      </c>
      <c r="B20" s="39">
        <f t="shared" si="29"/>
        <v>8</v>
      </c>
      <c r="C20" s="53">
        <f t="shared" si="31"/>
        <v>646.1</v>
      </c>
      <c r="D20" s="53">
        <f>644.1</f>
        <v>644.1</v>
      </c>
      <c r="E20" s="12">
        <f t="shared" si="20"/>
        <v>2</v>
      </c>
      <c r="F20" s="12">
        <f t="shared" si="30"/>
        <v>14</v>
      </c>
      <c r="G20" s="49" t="s">
        <v>26</v>
      </c>
      <c r="H20" s="49" t="s">
        <v>27</v>
      </c>
      <c r="I20" s="84">
        <v>0.2</v>
      </c>
      <c r="J20" s="50">
        <v>3</v>
      </c>
      <c r="K20" s="60">
        <f>K19</f>
        <v>0.5</v>
      </c>
      <c r="L20" s="50">
        <v>27</v>
      </c>
      <c r="M20" s="50">
        <f>35+9</f>
        <v>44</v>
      </c>
      <c r="N20" s="63">
        <v>4</v>
      </c>
      <c r="O20" s="65">
        <f>MIN(J20*250,K20*2000)</f>
        <v>750</v>
      </c>
      <c r="P20" s="17">
        <f t="shared" si="32"/>
        <v>4.1770868546078003E-3</v>
      </c>
      <c r="Q20" s="17">
        <f t="shared" si="33"/>
        <v>0.2</v>
      </c>
      <c r="R20" s="17">
        <f t="shared" si="22"/>
        <v>0.2</v>
      </c>
      <c r="S20" s="17">
        <f t="shared" si="34"/>
        <v>1.3612319947967773</v>
      </c>
      <c r="T20" s="17">
        <f t="shared" si="23"/>
        <v>4.6820900306867355</v>
      </c>
      <c r="U20" s="80">
        <f t="shared" si="24"/>
        <v>2.4333838877964222</v>
      </c>
      <c r="W20" s="36"/>
      <c r="X20" s="31" t="s">
        <v>50</v>
      </c>
      <c r="Y20" s="31" t="str">
        <f t="shared" si="9"/>
        <v>646.1' - 644.1'</v>
      </c>
      <c r="Z20" s="32">
        <f t="shared" si="26"/>
        <v>0.2</v>
      </c>
      <c r="AA20" s="32">
        <f t="shared" si="27"/>
        <v>4.1770868546078003E-3</v>
      </c>
      <c r="AB20" s="32">
        <f t="shared" si="28"/>
        <v>0.2</v>
      </c>
      <c r="AC20" s="33">
        <f t="shared" si="28"/>
        <v>1.3612319947967773</v>
      </c>
    </row>
    <row r="22" spans="1:29" x14ac:dyDescent="0.3">
      <c r="C22" s="37" t="s">
        <v>45</v>
      </c>
      <c r="H22" s="2">
        <v>659.9</v>
      </c>
      <c r="I22" s="13" t="s">
        <v>46</v>
      </c>
    </row>
    <row r="23" spans="1:29" x14ac:dyDescent="0.3">
      <c r="B23" s="37"/>
      <c r="C23" s="37" t="s">
        <v>44</v>
      </c>
      <c r="D23" s="2"/>
      <c r="E23" s="13"/>
      <c r="F23" s="13"/>
      <c r="H23" s="8">
        <v>660.1</v>
      </c>
      <c r="I23" s="13" t="s">
        <v>46</v>
      </c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333E9-7AE2-4BD1-BAF6-180B61DD1876}">
  <dimension ref="A1:AD23"/>
  <sheetViews>
    <sheetView tabSelected="1" workbookViewId="0">
      <selection activeCell="A2" sqref="A2"/>
    </sheetView>
  </sheetViews>
  <sheetFormatPr defaultRowHeight="14.4" x14ac:dyDescent="0.3"/>
  <cols>
    <col min="1" max="1" width="10.33203125" bestFit="1" customWidth="1"/>
    <col min="2" max="2" width="5.5546875" style="2" bestFit="1" customWidth="1"/>
    <col min="3" max="5" width="9.109375" style="8"/>
    <col min="6" max="6" width="8.88671875" style="8"/>
    <col min="7" max="7" width="5.6640625" style="2" bestFit="1" customWidth="1"/>
    <col min="8" max="8" width="8.88671875" style="2"/>
    <col min="9" max="9" width="6.5546875" style="13" bestFit="1" customWidth="1"/>
    <col min="10" max="10" width="5" style="37" bestFit="1" customWidth="1"/>
    <col min="11" max="11" width="4.5546875" style="40" bestFit="1" customWidth="1"/>
    <col min="12" max="14" width="5" style="37" bestFit="1" customWidth="1"/>
    <col min="15" max="15" width="6.88671875" style="2" customWidth="1"/>
    <col min="16" max="16" width="6.5546875" style="13" bestFit="1" customWidth="1"/>
    <col min="17" max="17" width="8.5546875" style="13" bestFit="1" customWidth="1"/>
    <col min="18" max="18" width="7.5546875" style="13" bestFit="1" customWidth="1"/>
    <col min="19" max="20" width="6.5546875" style="13" bestFit="1" customWidth="1"/>
    <col min="21" max="21" width="7.33203125" style="13" bestFit="1" customWidth="1"/>
    <col min="23" max="23" width="10.33203125" bestFit="1" customWidth="1"/>
    <col min="26" max="26" width="12.5546875" bestFit="1" customWidth="1"/>
  </cols>
  <sheetData>
    <row r="1" spans="1:30" ht="18" x14ac:dyDescent="0.35">
      <c r="A1" s="5" t="s">
        <v>76</v>
      </c>
      <c r="W1" s="5"/>
    </row>
    <row r="2" spans="1:30" x14ac:dyDescent="0.3">
      <c r="W2" s="18"/>
      <c r="X2" s="19"/>
      <c r="Y2" s="19"/>
      <c r="Z2" s="19"/>
      <c r="AA2" s="20" t="s">
        <v>57</v>
      </c>
      <c r="AB2" s="21"/>
      <c r="AC2" s="21"/>
      <c r="AD2" s="22"/>
    </row>
    <row r="3" spans="1:30" s="1" customFormat="1" ht="15.6" x14ac:dyDescent="0.35">
      <c r="A3" s="1" t="s">
        <v>18</v>
      </c>
      <c r="B3" s="14" t="s">
        <v>20</v>
      </c>
      <c r="C3" s="9" t="s">
        <v>0</v>
      </c>
      <c r="D3" s="69" t="s">
        <v>2</v>
      </c>
      <c r="E3" s="70" t="s">
        <v>20</v>
      </c>
      <c r="F3" s="70" t="s">
        <v>56</v>
      </c>
      <c r="G3" s="71" t="s">
        <v>3</v>
      </c>
      <c r="H3" s="71" t="s">
        <v>5</v>
      </c>
      <c r="I3" s="72" t="s">
        <v>8</v>
      </c>
      <c r="J3" s="73"/>
      <c r="K3" s="74" t="s">
        <v>37</v>
      </c>
      <c r="L3" s="73" t="s">
        <v>10</v>
      </c>
      <c r="M3" s="73" t="s">
        <v>9</v>
      </c>
      <c r="N3" s="73" t="s">
        <v>11</v>
      </c>
      <c r="O3" s="71" t="s">
        <v>17</v>
      </c>
      <c r="P3" s="72" t="s">
        <v>16</v>
      </c>
      <c r="Q3" s="72" t="s">
        <v>16</v>
      </c>
      <c r="R3" s="72" t="s">
        <v>15</v>
      </c>
      <c r="S3" s="72" t="s">
        <v>23</v>
      </c>
      <c r="T3" s="72" t="s">
        <v>24</v>
      </c>
      <c r="U3" s="75" t="s">
        <v>25</v>
      </c>
      <c r="W3" s="23" t="s">
        <v>18</v>
      </c>
      <c r="X3" s="24" t="s">
        <v>31</v>
      </c>
      <c r="Y3" s="24" t="s">
        <v>3</v>
      </c>
      <c r="Z3" s="24" t="s">
        <v>31</v>
      </c>
      <c r="AA3" s="25" t="s">
        <v>32</v>
      </c>
      <c r="AB3" s="25" t="s">
        <v>33</v>
      </c>
      <c r="AC3" s="25" t="s">
        <v>15</v>
      </c>
      <c r="AD3" s="26" t="s">
        <v>34</v>
      </c>
    </row>
    <row r="4" spans="1:30" s="1" customFormat="1" ht="15.6" x14ac:dyDescent="0.35">
      <c r="A4" s="3" t="s">
        <v>19</v>
      </c>
      <c r="B4" s="4" t="s">
        <v>21</v>
      </c>
      <c r="C4" s="10" t="s">
        <v>1</v>
      </c>
      <c r="D4" s="76" t="s">
        <v>1</v>
      </c>
      <c r="E4" s="10" t="s">
        <v>29</v>
      </c>
      <c r="F4" s="10" t="s">
        <v>55</v>
      </c>
      <c r="G4" s="4" t="s">
        <v>4</v>
      </c>
      <c r="H4" s="4" t="s">
        <v>6</v>
      </c>
      <c r="I4" s="15" t="s">
        <v>7</v>
      </c>
      <c r="J4" s="38" t="s">
        <v>38</v>
      </c>
      <c r="K4" s="41" t="s">
        <v>39</v>
      </c>
      <c r="L4" s="38" t="s">
        <v>12</v>
      </c>
      <c r="M4" s="38" t="s">
        <v>12</v>
      </c>
      <c r="N4" s="38" t="s">
        <v>12</v>
      </c>
      <c r="O4" s="4" t="s">
        <v>13</v>
      </c>
      <c r="P4" s="15" t="s">
        <v>13</v>
      </c>
      <c r="Q4" s="15" t="s">
        <v>14</v>
      </c>
      <c r="R4" s="15" t="s">
        <v>7</v>
      </c>
      <c r="S4" s="15" t="s">
        <v>22</v>
      </c>
      <c r="T4" s="15" t="s">
        <v>22</v>
      </c>
      <c r="U4" s="77" t="s">
        <v>22</v>
      </c>
      <c r="W4" s="27" t="s">
        <v>19</v>
      </c>
      <c r="X4" s="28" t="s">
        <v>19</v>
      </c>
      <c r="Y4" s="28" t="s">
        <v>4</v>
      </c>
      <c r="Z4" s="28" t="s">
        <v>35</v>
      </c>
      <c r="AA4" s="29" t="s">
        <v>7</v>
      </c>
      <c r="AB4" s="29" t="s">
        <v>13</v>
      </c>
      <c r="AC4" s="29" t="s">
        <v>7</v>
      </c>
      <c r="AD4" s="30" t="s">
        <v>36</v>
      </c>
    </row>
    <row r="5" spans="1:30" x14ac:dyDescent="0.3">
      <c r="A5" s="54" t="s">
        <v>40</v>
      </c>
      <c r="B5" s="6">
        <v>1</v>
      </c>
      <c r="C5" s="51">
        <f>658.5</f>
        <v>658.5</v>
      </c>
      <c r="D5" s="51">
        <f>H22-3.5</f>
        <v>656.4</v>
      </c>
      <c r="E5" s="11">
        <f>C5-D5</f>
        <v>2.1000000000000227</v>
      </c>
      <c r="F5" s="11">
        <f>1.4</f>
        <v>1.4</v>
      </c>
      <c r="G5" s="42" t="s">
        <v>26</v>
      </c>
      <c r="H5" s="42" t="s">
        <v>6</v>
      </c>
      <c r="I5" s="66">
        <f>'Particle Size Interpolation'!L2</f>
        <v>0.10904255319148935</v>
      </c>
      <c r="J5" s="43">
        <v>10</v>
      </c>
      <c r="K5" s="44">
        <v>1.25</v>
      </c>
      <c r="L5" s="43">
        <v>15</v>
      </c>
      <c r="M5" s="43">
        <f>31+15</f>
        <v>46</v>
      </c>
      <c r="N5" s="62">
        <v>4</v>
      </c>
      <c r="O5" s="57">
        <v>2000</v>
      </c>
      <c r="P5" s="16">
        <f>IF(H5="Cohesive",0.01*(L5/M5)^-2*(N5/100)^1.3*O5^0.4,I5*0.020885434273039)</f>
        <v>2.9951814147242684E-2</v>
      </c>
      <c r="Q5" s="16">
        <f>IF(H5="Cohesive",P5/0.020885434273039,I5)</f>
        <v>1.4341006155618929</v>
      </c>
      <c r="R5" s="16">
        <f>Q5</f>
        <v>1.4341006155618929</v>
      </c>
      <c r="S5" s="16">
        <f>IF(H5="Cohesive",4.5-3/1.07^N5,1.2*(1.83333+LOG(I5)))</f>
        <v>2.2113143638574244</v>
      </c>
      <c r="T5" s="16">
        <f>13/S5^0.309-7.1363</f>
        <v>3.0366369268995381</v>
      </c>
      <c r="U5" s="78">
        <f>7.377777-((1-(S5-4.5)^2/3.57^2)*10.377777^2)^0.5</f>
        <v>-0.58682471895163069</v>
      </c>
      <c r="W5" s="34" t="str">
        <f t="shared" ref="W5" si="0">IF(A5=A4,"",A5)</f>
        <v>B-001-0-23</v>
      </c>
      <c r="X5" s="31" t="s">
        <v>47</v>
      </c>
      <c r="Y5" s="31" t="s">
        <v>26</v>
      </c>
      <c r="Z5" s="31" t="str">
        <f>_xlfn.CONCAT(C5,"' - ",D5,"'")</f>
        <v>658.5' - 656.4'</v>
      </c>
      <c r="AA5" s="32">
        <f>I5</f>
        <v>0.10904255319148935</v>
      </c>
      <c r="AB5" s="32">
        <f>P5</f>
        <v>2.9951814147242684E-2</v>
      </c>
      <c r="AC5" s="32">
        <f>R5</f>
        <v>1.4341006155618929</v>
      </c>
      <c r="AD5" s="33">
        <f>S5</f>
        <v>2.2113143638574244</v>
      </c>
    </row>
    <row r="6" spans="1:30" x14ac:dyDescent="0.3">
      <c r="A6" t="str">
        <f t="shared" ref="A6:A20" si="1">A5</f>
        <v>B-001-0-23</v>
      </c>
      <c r="B6" s="2">
        <f>B5+1</f>
        <v>2</v>
      </c>
      <c r="C6" s="52">
        <f>D5</f>
        <v>656.4</v>
      </c>
      <c r="D6" s="52">
        <f>H22-6</f>
        <v>653.9</v>
      </c>
      <c r="E6" s="8">
        <f t="shared" ref="E6:E12" si="2">C6-D6</f>
        <v>2.5</v>
      </c>
      <c r="F6" s="8">
        <f>F5+E5</f>
        <v>3.5000000000000226</v>
      </c>
      <c r="G6" s="45" t="s">
        <v>26</v>
      </c>
      <c r="H6" s="45" t="s">
        <v>6</v>
      </c>
      <c r="I6" s="56">
        <f>'Particle Size Interpolation'!L3</f>
        <v>4.2000000000000003E-2</v>
      </c>
      <c r="J6" s="47">
        <v>9</v>
      </c>
      <c r="K6" s="48">
        <v>1.75</v>
      </c>
      <c r="L6" s="47">
        <v>22</v>
      </c>
      <c r="M6" s="47">
        <f>45+27</f>
        <v>72</v>
      </c>
      <c r="N6" s="47">
        <v>7</v>
      </c>
      <c r="O6" s="2">
        <f>MIN(J6*250,K6*2000)</f>
        <v>2250</v>
      </c>
      <c r="P6" s="13">
        <f t="shared" ref="P5:P7" si="3">IF(H6="Cohesive",0.01*(L6/M6)^-2*(N6/100)^1.3*O6^0.4,I6*0.020885434273039)</f>
        <v>7.4015059138811248E-2</v>
      </c>
      <c r="Q6" s="13">
        <f t="shared" ref="Q5:Q7" si="4">IF(H6="Cohesive",P6/0.020885434273039,I6)</f>
        <v>3.5438601932427742</v>
      </c>
      <c r="R6" s="13">
        <f t="shared" ref="R6:R11" si="5">Q6</f>
        <v>3.5438601932427742</v>
      </c>
      <c r="S6" s="13">
        <f t="shared" ref="S5:S6" si="6">IF(H6="Cohesive",4.5-3/1.07^N6,1.2*(1.83333+LOG(I6)))</f>
        <v>2.6317507743462265</v>
      </c>
      <c r="T6" s="13">
        <f t="shared" ref="T6:T11" si="7">13/S6^0.309-7.1363</f>
        <v>2.5039372381052374</v>
      </c>
      <c r="U6" s="79">
        <f t="shared" ref="U6:U11" si="8">7.377777-((1-(S6-4.5)^2/3.57^2)*10.377777^2)^0.5</f>
        <v>-1.4655085762876805</v>
      </c>
      <c r="W6" s="35" t="str">
        <f t="shared" ref="W6:W11" si="9">IF(A6=A5,"",A6)</f>
        <v/>
      </c>
      <c r="X6" s="31" t="s">
        <v>49</v>
      </c>
      <c r="Y6" s="31" t="s">
        <v>26</v>
      </c>
      <c r="Z6" s="31" t="str">
        <f t="shared" ref="Z6:Z12" si="10">_xlfn.CONCAT(C6,"' - ",D6,"'")</f>
        <v>656.4' - 653.9'</v>
      </c>
      <c r="AA6" s="32">
        <f t="shared" ref="AA6:AA11" si="11">I6</f>
        <v>4.2000000000000003E-2</v>
      </c>
      <c r="AB6" s="32">
        <f t="shared" ref="AB6:AB11" si="12">P6</f>
        <v>7.4015059138811248E-2</v>
      </c>
      <c r="AC6" s="32">
        <f t="shared" ref="AC6:AC11" si="13">R6</f>
        <v>3.5438601932427742</v>
      </c>
      <c r="AD6" s="33">
        <f t="shared" ref="AD6:AD11" si="14">S6</f>
        <v>2.6317507743462265</v>
      </c>
    </row>
    <row r="7" spans="1:30" x14ac:dyDescent="0.3">
      <c r="A7" t="str">
        <f t="shared" si="1"/>
        <v>B-001-0-23</v>
      </c>
      <c r="B7" s="2">
        <f t="shared" ref="B7:B11" si="15">B6+1</f>
        <v>3</v>
      </c>
      <c r="C7" s="52">
        <f>D6</f>
        <v>653.9</v>
      </c>
      <c r="D7" s="52">
        <f>H22-8</f>
        <v>651.9</v>
      </c>
      <c r="E7" s="8">
        <f t="shared" si="2"/>
        <v>2</v>
      </c>
      <c r="F7" s="8">
        <f t="shared" ref="F7:F12" si="16">F6+E6</f>
        <v>6.0000000000000231</v>
      </c>
      <c r="G7" s="45" t="s">
        <v>26</v>
      </c>
      <c r="H7" s="45" t="s">
        <v>6</v>
      </c>
      <c r="I7" s="56">
        <f>'Particle Size Interpolation'!L5</f>
        <v>6.2464285714285715E-2</v>
      </c>
      <c r="J7" s="47">
        <v>13</v>
      </c>
      <c r="K7" s="48">
        <v>3.5</v>
      </c>
      <c r="L7" s="47">
        <v>20</v>
      </c>
      <c r="M7" s="55">
        <f>100-'Particle Size Interpolation'!G5</f>
        <v>56.5</v>
      </c>
      <c r="N7" s="55">
        <v>4</v>
      </c>
      <c r="O7" s="2">
        <f t="shared" ref="O6:O9" si="17">MIN(J7*250,K7*2000)</f>
        <v>3250</v>
      </c>
      <c r="P7" s="13">
        <f t="shared" si="3"/>
        <v>3.086513902077467E-2</v>
      </c>
      <c r="Q7" s="13">
        <f t="shared" si="4"/>
        <v>1.4778308469562669</v>
      </c>
      <c r="R7" s="13">
        <f t="shared" si="5"/>
        <v>1.4778308469562669</v>
      </c>
      <c r="S7" s="13">
        <f>IF(H7="Cohesive",4.5-3/1.07^N7,1.2*(1.83333+LOG(I7)))</f>
        <v>2.2113143638574244</v>
      </c>
      <c r="T7" s="13">
        <f t="shared" si="7"/>
        <v>3.0366369268995381</v>
      </c>
      <c r="U7" s="79">
        <f t="shared" si="8"/>
        <v>-0.58682471895163069</v>
      </c>
      <c r="W7" s="35" t="str">
        <f t="shared" si="9"/>
        <v/>
      </c>
      <c r="X7" s="31" t="s">
        <v>48</v>
      </c>
      <c r="Y7" s="31" t="s">
        <v>26</v>
      </c>
      <c r="Z7" s="31" t="str">
        <f t="shared" si="10"/>
        <v>653.9' - 651.9'</v>
      </c>
      <c r="AA7" s="32">
        <f t="shared" si="11"/>
        <v>6.2464285714285715E-2</v>
      </c>
      <c r="AB7" s="32">
        <f t="shared" si="12"/>
        <v>3.086513902077467E-2</v>
      </c>
      <c r="AC7" s="32">
        <f t="shared" si="13"/>
        <v>1.4778308469562669</v>
      </c>
      <c r="AD7" s="33">
        <f t="shared" si="14"/>
        <v>2.2113143638574244</v>
      </c>
    </row>
    <row r="8" spans="1:30" x14ac:dyDescent="0.3">
      <c r="A8" t="str">
        <f t="shared" si="1"/>
        <v>B-001-0-23</v>
      </c>
      <c r="B8" s="2">
        <f t="shared" si="15"/>
        <v>4</v>
      </c>
      <c r="C8" s="52">
        <f>D7</f>
        <v>651.9</v>
      </c>
      <c r="D8" s="52">
        <f>H22-9.5</f>
        <v>650.4</v>
      </c>
      <c r="E8" s="8">
        <f t="shared" si="2"/>
        <v>1.5</v>
      </c>
      <c r="F8" s="8">
        <f t="shared" si="16"/>
        <v>8.0000000000000231</v>
      </c>
      <c r="G8" s="45" t="s">
        <v>26</v>
      </c>
      <c r="H8" s="45" t="s">
        <v>6</v>
      </c>
      <c r="I8" s="46">
        <v>0.106</v>
      </c>
      <c r="J8" s="47">
        <v>4</v>
      </c>
      <c r="K8" s="48">
        <v>0.25</v>
      </c>
      <c r="L8" s="47">
        <v>23</v>
      </c>
      <c r="M8" s="47">
        <f>25+16</f>
        <v>41</v>
      </c>
      <c r="N8" s="55">
        <v>4</v>
      </c>
      <c r="O8" s="2">
        <f t="shared" si="17"/>
        <v>500</v>
      </c>
      <c r="P8" s="13">
        <f>IF(H8="Cohesive",0.01*(L8/M8)^-2*(N8/100)^1.3*O8^0.4,I8*0.020885434273039)</f>
        <v>5.8127016430233316E-3</v>
      </c>
      <c r="Q8" s="13">
        <f>IF(H8="Cohesive",P8/0.020885434273039,I8)</f>
        <v>0.27831365951183246</v>
      </c>
      <c r="R8" s="13">
        <f t="shared" si="5"/>
        <v>0.27831365951183246</v>
      </c>
      <c r="S8" s="13">
        <f>IF(H8="Cohesive",4.5-3/1.07^N8,1.2*(1.83333+LOG(I8)))</f>
        <v>2.2113143638574244</v>
      </c>
      <c r="T8" s="13">
        <f t="shared" si="7"/>
        <v>3.0366369268995381</v>
      </c>
      <c r="U8" s="79">
        <f t="shared" si="8"/>
        <v>-0.58682471895163069</v>
      </c>
      <c r="W8" s="35" t="str">
        <f t="shared" si="9"/>
        <v/>
      </c>
      <c r="X8" s="31" t="s">
        <v>51</v>
      </c>
      <c r="Y8" s="31" t="s">
        <v>26</v>
      </c>
      <c r="Z8" s="31" t="str">
        <f t="shared" si="10"/>
        <v>651.9' - 650.4'</v>
      </c>
      <c r="AA8" s="32">
        <f t="shared" si="11"/>
        <v>0.106</v>
      </c>
      <c r="AB8" s="32">
        <f t="shared" si="12"/>
        <v>5.8127016430233316E-3</v>
      </c>
      <c r="AC8" s="32">
        <f t="shared" si="13"/>
        <v>0.27831365951183246</v>
      </c>
      <c r="AD8" s="33">
        <f t="shared" si="14"/>
        <v>2.2113143638574244</v>
      </c>
    </row>
    <row r="9" spans="1:30" x14ac:dyDescent="0.3">
      <c r="A9" t="str">
        <f t="shared" si="1"/>
        <v>B-001-0-23</v>
      </c>
      <c r="B9" s="2">
        <f t="shared" si="15"/>
        <v>5</v>
      </c>
      <c r="C9" s="52">
        <f t="shared" ref="C9:C11" si="18">D8</f>
        <v>650.4</v>
      </c>
      <c r="D9" s="52">
        <f>H22-11</f>
        <v>648.9</v>
      </c>
      <c r="E9" s="8">
        <f t="shared" si="2"/>
        <v>1.5</v>
      </c>
      <c r="F9" s="8">
        <f t="shared" si="16"/>
        <v>9.5000000000000231</v>
      </c>
      <c r="G9" s="45" t="s">
        <v>26</v>
      </c>
      <c r="H9" s="45" t="s">
        <v>6</v>
      </c>
      <c r="I9" s="46">
        <v>4.5999999999999999E-2</v>
      </c>
      <c r="J9" s="85">
        <v>1</v>
      </c>
      <c r="K9" s="86">
        <v>0.25</v>
      </c>
      <c r="L9" s="47">
        <v>24</v>
      </c>
      <c r="M9" s="47">
        <f>32+24</f>
        <v>56</v>
      </c>
      <c r="N9" s="47">
        <v>6</v>
      </c>
      <c r="O9" s="61">
        <f>MIN(J9*250,K9*2000)</f>
        <v>250</v>
      </c>
      <c r="P9" s="13">
        <f t="shared" ref="P9:P15" si="19">IF(H9="Cohesive",0.01*(L9/M9)^-2*(N9/100)^1.3*O9^0.4,I9*0.020885434273039)</f>
        <v>1.2785749739268127E-2</v>
      </c>
      <c r="Q9" s="13">
        <f t="shared" ref="Q9:Q15" si="20">IF(H9="Cohesive",P9/0.020885434273039,I9)</f>
        <v>0.61218500760471362</v>
      </c>
      <c r="R9" s="13">
        <f t="shared" si="5"/>
        <v>0.61218500760471362</v>
      </c>
      <c r="S9" s="13">
        <f t="shared" ref="S9:S14" si="21">IF(H9="Cohesive",4.5-3/1.07^N9,1.2*(1.83333+LOG(I9)))</f>
        <v>2.5009733285504625</v>
      </c>
      <c r="T9" s="13">
        <f t="shared" si="7"/>
        <v>2.6569682983616065</v>
      </c>
      <c r="U9" s="79">
        <f t="shared" si="8"/>
        <v>-1.2204750703944587</v>
      </c>
      <c r="W9" s="35" t="str">
        <f t="shared" si="9"/>
        <v/>
      </c>
      <c r="X9" s="31" t="s">
        <v>52</v>
      </c>
      <c r="Y9" s="31" t="s">
        <v>26</v>
      </c>
      <c r="Z9" s="31" t="str">
        <f t="shared" si="10"/>
        <v>650.4' - 648.9'</v>
      </c>
      <c r="AA9" s="32">
        <f t="shared" si="11"/>
        <v>4.5999999999999999E-2</v>
      </c>
      <c r="AB9" s="82">
        <f t="shared" si="12"/>
        <v>1.2785749739268127E-2</v>
      </c>
      <c r="AC9" s="82">
        <f t="shared" si="13"/>
        <v>0.61218500760471362</v>
      </c>
      <c r="AD9" s="33">
        <f t="shared" si="14"/>
        <v>2.5009733285504625</v>
      </c>
    </row>
    <row r="10" spans="1:30" x14ac:dyDescent="0.3">
      <c r="A10" t="str">
        <f t="shared" si="1"/>
        <v>B-001-0-23</v>
      </c>
      <c r="B10" s="2">
        <f t="shared" si="15"/>
        <v>6</v>
      </c>
      <c r="C10" s="52">
        <f t="shared" si="18"/>
        <v>648.9</v>
      </c>
      <c r="D10" s="52">
        <f>H22-12.5</f>
        <v>647.4</v>
      </c>
      <c r="E10" s="8">
        <f t="shared" si="2"/>
        <v>1.5</v>
      </c>
      <c r="F10" s="8">
        <f t="shared" si="16"/>
        <v>11.000000000000023</v>
      </c>
      <c r="G10" s="45" t="s">
        <v>26</v>
      </c>
      <c r="H10" s="45" t="s">
        <v>6</v>
      </c>
      <c r="I10" s="46">
        <v>7.5999999999999998E-2</v>
      </c>
      <c r="J10" s="47">
        <v>9</v>
      </c>
      <c r="K10" s="48">
        <v>1.25</v>
      </c>
      <c r="L10" s="47">
        <v>22</v>
      </c>
      <c r="M10" s="47">
        <f>27+22</f>
        <v>49</v>
      </c>
      <c r="N10" s="47">
        <v>5</v>
      </c>
      <c r="O10" s="2">
        <f>MIN(J10*250,K10*2000)</f>
        <v>2250</v>
      </c>
      <c r="P10" s="13">
        <f t="shared" si="19"/>
        <v>2.213506549255409E-2</v>
      </c>
      <c r="Q10" s="13">
        <f t="shared" si="20"/>
        <v>1.0598326663060218</v>
      </c>
      <c r="R10" s="13">
        <f t="shared" si="5"/>
        <v>1.0598326663060218</v>
      </c>
      <c r="S10" s="13">
        <f t="shared" si="21"/>
        <v>2.3610414615489947</v>
      </c>
      <c r="T10" s="13">
        <f t="shared" si="7"/>
        <v>2.8327628882592233</v>
      </c>
      <c r="U10" s="79">
        <f t="shared" si="8"/>
        <v>-0.9310682604647571</v>
      </c>
      <c r="W10" s="35" t="str">
        <f t="shared" si="9"/>
        <v/>
      </c>
      <c r="X10" s="31" t="s">
        <v>53</v>
      </c>
      <c r="Y10" s="31" t="s">
        <v>26</v>
      </c>
      <c r="Z10" s="31" t="str">
        <f t="shared" si="10"/>
        <v>648.9' - 647.4'</v>
      </c>
      <c r="AA10" s="32">
        <f t="shared" si="11"/>
        <v>7.5999999999999998E-2</v>
      </c>
      <c r="AB10" s="32">
        <f t="shared" si="12"/>
        <v>2.213506549255409E-2</v>
      </c>
      <c r="AC10" s="32">
        <f t="shared" si="13"/>
        <v>1.0598326663060218</v>
      </c>
      <c r="AD10" s="33">
        <f t="shared" si="14"/>
        <v>2.3610414615489947</v>
      </c>
    </row>
    <row r="11" spans="1:30" x14ac:dyDescent="0.3">
      <c r="A11" t="str">
        <f t="shared" si="1"/>
        <v>B-001-0-23</v>
      </c>
      <c r="B11" s="2">
        <f t="shared" si="15"/>
        <v>7</v>
      </c>
      <c r="C11" s="52">
        <f t="shared" si="18"/>
        <v>647.4</v>
      </c>
      <c r="D11" s="52">
        <f>H22-14</f>
        <v>645.9</v>
      </c>
      <c r="E11" s="8">
        <f t="shared" si="2"/>
        <v>1.5</v>
      </c>
      <c r="F11" s="8">
        <f t="shared" si="16"/>
        <v>12.500000000000023</v>
      </c>
      <c r="G11" s="45" t="s">
        <v>26</v>
      </c>
      <c r="H11" s="45" t="s">
        <v>6</v>
      </c>
      <c r="I11" s="46">
        <v>9.4E-2</v>
      </c>
      <c r="J11" s="47">
        <v>3</v>
      </c>
      <c r="K11" s="48">
        <v>1.25</v>
      </c>
      <c r="L11" s="47">
        <v>24</v>
      </c>
      <c r="M11" s="47">
        <f>25+18</f>
        <v>43</v>
      </c>
      <c r="N11" s="47">
        <v>4</v>
      </c>
      <c r="O11" s="2">
        <f>MIN(J11*250,K11*2000)</f>
        <v>750</v>
      </c>
      <c r="P11" s="13">
        <f t="shared" si="19"/>
        <v>6.9058465158622333E-3</v>
      </c>
      <c r="Q11" s="13">
        <f t="shared" si="20"/>
        <v>0.3306537190264216</v>
      </c>
      <c r="R11" s="13">
        <f t="shared" si="5"/>
        <v>0.3306537190264216</v>
      </c>
      <c r="S11" s="13">
        <f t="shared" si="21"/>
        <v>2.2113143638574244</v>
      </c>
      <c r="T11" s="13">
        <f t="shared" si="7"/>
        <v>3.0366369268995381</v>
      </c>
      <c r="U11" s="79">
        <f t="shared" si="8"/>
        <v>-0.58682471895163069</v>
      </c>
      <c r="W11" s="35" t="str">
        <f t="shared" si="9"/>
        <v/>
      </c>
      <c r="X11" s="31" t="s">
        <v>54</v>
      </c>
      <c r="Y11" s="31" t="s">
        <v>26</v>
      </c>
      <c r="Z11" s="31" t="str">
        <f t="shared" si="10"/>
        <v>647.4' - 645.9'</v>
      </c>
      <c r="AA11" s="32">
        <f t="shared" si="11"/>
        <v>9.4E-2</v>
      </c>
      <c r="AB11" s="32">
        <f t="shared" si="12"/>
        <v>6.9058465158622333E-3</v>
      </c>
      <c r="AC11" s="32">
        <f t="shared" si="13"/>
        <v>0.3306537190264216</v>
      </c>
      <c r="AD11" s="33">
        <f t="shared" si="14"/>
        <v>2.2113143638574244</v>
      </c>
    </row>
    <row r="12" spans="1:30" x14ac:dyDescent="0.3">
      <c r="A12" t="str">
        <f t="shared" si="1"/>
        <v>B-001-0-23</v>
      </c>
      <c r="B12" s="2">
        <v>8</v>
      </c>
      <c r="C12" s="52">
        <f>D11</f>
        <v>645.9</v>
      </c>
      <c r="D12" s="52">
        <f>H22-16</f>
        <v>643.9</v>
      </c>
      <c r="E12" s="8">
        <f t="shared" si="2"/>
        <v>2</v>
      </c>
      <c r="F12" s="8">
        <f t="shared" si="16"/>
        <v>14.000000000000023</v>
      </c>
      <c r="G12" s="45" t="s">
        <v>26</v>
      </c>
      <c r="H12" s="45" t="s">
        <v>6</v>
      </c>
      <c r="I12" s="67">
        <v>0.104</v>
      </c>
      <c r="J12" s="47">
        <v>4</v>
      </c>
      <c r="K12" s="48">
        <v>0.25</v>
      </c>
      <c r="L12" s="47">
        <v>27</v>
      </c>
      <c r="M12" s="47">
        <f>21+19</f>
        <v>40</v>
      </c>
      <c r="N12" s="47">
        <v>7</v>
      </c>
      <c r="O12" s="2">
        <f>MIN(J12*250,K12*2000)</f>
        <v>500</v>
      </c>
      <c r="P12" s="13">
        <f t="shared" ref="P12" si="22">IF(H12="Cohesive",0.01*(L12/M12)^-2*(N12/100)^1.3*O12^0.4,I12*0.020885434273039)</f>
        <v>8.3101317286890797E-3</v>
      </c>
      <c r="Q12" s="13">
        <f t="shared" ref="Q12" si="23">IF(H12="Cohesive",P12/0.020885434273039,I12)</f>
        <v>0.3978912585704108</v>
      </c>
      <c r="R12" s="13">
        <f t="shared" ref="R12" si="24">Q12</f>
        <v>0.3978912585704108</v>
      </c>
      <c r="S12" s="13">
        <f t="shared" ref="S12" si="25">IF(H12="Cohesive",4.5-3/1.07^N12,1.2*(1.83333+LOG(I12)))</f>
        <v>2.6317507743462265</v>
      </c>
      <c r="T12" s="13">
        <f t="shared" ref="T12" si="26">13/S12^0.309-7.1363</f>
        <v>2.5039372381052374</v>
      </c>
      <c r="U12" s="79">
        <f t="shared" ref="U12" si="27">7.377777-((1-(S12-4.5)^2/3.57^2)*10.377777^2)^0.5</f>
        <v>-1.4655085762876805</v>
      </c>
      <c r="W12" s="35"/>
      <c r="X12" s="31" t="s">
        <v>50</v>
      </c>
      <c r="Y12" s="31" t="s">
        <v>26</v>
      </c>
      <c r="Z12" s="31" t="str">
        <f t="shared" si="10"/>
        <v>645.9' - 643.9'</v>
      </c>
      <c r="AA12" s="32">
        <f t="shared" ref="AA12" si="28">I12</f>
        <v>0.104</v>
      </c>
      <c r="AB12" s="32">
        <f t="shared" ref="AB12" si="29">P12</f>
        <v>8.3101317286890797E-3</v>
      </c>
      <c r="AC12" s="32">
        <f t="shared" ref="AC12" si="30">R12</f>
        <v>0.3978912585704108</v>
      </c>
      <c r="AD12" s="33">
        <f t="shared" ref="AD12" si="31">S12</f>
        <v>2.6317507743462265</v>
      </c>
    </row>
    <row r="13" spans="1:30" x14ac:dyDescent="0.3">
      <c r="A13" s="54" t="s">
        <v>43</v>
      </c>
      <c r="B13" s="6">
        <v>1</v>
      </c>
      <c r="C13" s="51">
        <f>658.7</f>
        <v>658.7</v>
      </c>
      <c r="D13" s="51">
        <f>H23-3.5</f>
        <v>656.6</v>
      </c>
      <c r="E13" s="11">
        <f>C13-D13</f>
        <v>2.1000000000000227</v>
      </c>
      <c r="F13" s="11">
        <f>660.1-658.7</f>
        <v>1.3999999999999773</v>
      </c>
      <c r="G13" s="42" t="s">
        <v>28</v>
      </c>
      <c r="H13" s="42" t="s">
        <v>27</v>
      </c>
      <c r="I13" s="87">
        <v>0.42</v>
      </c>
      <c r="J13" s="43">
        <v>19</v>
      </c>
      <c r="K13" s="44">
        <v>0</v>
      </c>
      <c r="L13" s="43">
        <v>14</v>
      </c>
      <c r="M13" s="43">
        <v>29</v>
      </c>
      <c r="N13" s="62">
        <v>4</v>
      </c>
      <c r="O13" s="57">
        <v>0</v>
      </c>
      <c r="P13" s="16">
        <f t="shared" si="19"/>
        <v>8.7718823946763801E-3</v>
      </c>
      <c r="Q13" s="16">
        <f t="shared" si="20"/>
        <v>0.42</v>
      </c>
      <c r="R13" s="16">
        <f>Q13</f>
        <v>0.42</v>
      </c>
      <c r="S13" s="16">
        <f t="shared" si="21"/>
        <v>1.7478951484774805</v>
      </c>
      <c r="T13" s="16">
        <f>13/S13^0.309-7.1363</f>
        <v>3.803417339481209</v>
      </c>
      <c r="U13" s="78">
        <f>7.377777-((1-(S13-4.5)^2/3.57^2)*10.377777^2)^0.5</f>
        <v>0.76755901681118388</v>
      </c>
      <c r="W13" s="34" t="str">
        <f>IF(A13=A11,"",A13)</f>
        <v>B-002-0-23</v>
      </c>
      <c r="X13" s="31" t="s">
        <v>47</v>
      </c>
      <c r="Y13" s="31" t="s">
        <v>28</v>
      </c>
      <c r="Z13" s="31" t="str">
        <f t="shared" ref="Z13:Z20" si="32">_xlfn.CONCAT(C13,"' - ",D13,"'")</f>
        <v>658.7' - 656.6'</v>
      </c>
      <c r="AA13" s="32">
        <f>I13</f>
        <v>0.42</v>
      </c>
      <c r="AB13" s="82">
        <f>P13</f>
        <v>8.7718823946763801E-3</v>
      </c>
      <c r="AC13" s="82">
        <f>R13</f>
        <v>0.42</v>
      </c>
      <c r="AD13" s="33">
        <f>S13</f>
        <v>1.7478951484774805</v>
      </c>
    </row>
    <row r="14" spans="1:30" x14ac:dyDescent="0.3">
      <c r="A14" t="str">
        <f t="shared" si="1"/>
        <v>B-002-0-23</v>
      </c>
      <c r="B14" s="2">
        <f>B13+1</f>
        <v>2</v>
      </c>
      <c r="C14" s="52">
        <f>D13</f>
        <v>656.6</v>
      </c>
      <c r="D14" s="52">
        <f>H23-6</f>
        <v>654.1</v>
      </c>
      <c r="E14" s="8">
        <f t="shared" ref="E14:E20" si="33">C14-D14</f>
        <v>2.5</v>
      </c>
      <c r="F14" s="8">
        <f>F13+E13</f>
        <v>3.5</v>
      </c>
      <c r="G14" s="45" t="s">
        <v>26</v>
      </c>
      <c r="H14" s="45" t="s">
        <v>6</v>
      </c>
      <c r="I14" s="56">
        <f>'Particle Size Interpolation'!L9</f>
        <v>4.2656250000000007E-2</v>
      </c>
      <c r="J14" s="47">
        <v>7</v>
      </c>
      <c r="K14" s="48">
        <v>1.25</v>
      </c>
      <c r="L14" s="47">
        <v>27</v>
      </c>
      <c r="M14" s="47">
        <f>48+25</f>
        <v>73</v>
      </c>
      <c r="N14" s="64">
        <v>7</v>
      </c>
      <c r="O14" s="2">
        <f t="shared" ref="O14:O17" si="34">MIN(J14*250,K14*2000)</f>
        <v>1750</v>
      </c>
      <c r="P14" s="13">
        <f t="shared" si="19"/>
        <v>4.5683657135932788E-2</v>
      </c>
      <c r="Q14" s="13">
        <f t="shared" si="20"/>
        <v>2.1873453306597415</v>
      </c>
      <c r="R14" s="13">
        <f t="shared" ref="R14:R20" si="35">Q14</f>
        <v>2.1873453306597415</v>
      </c>
      <c r="S14" s="13">
        <f t="shared" si="21"/>
        <v>2.6317507743462265</v>
      </c>
      <c r="T14" s="13">
        <f t="shared" ref="T14:T20" si="36">13/S14^0.309-7.1363</f>
        <v>2.5039372381052374</v>
      </c>
      <c r="U14" s="79">
        <f t="shared" ref="U14:U20" si="37">7.377777-((1-(S14-4.5)^2/3.57^2)*10.377777^2)^0.5</f>
        <v>-1.4655085762876805</v>
      </c>
      <c r="W14" s="35" t="str">
        <f t="shared" ref="W14:W19" si="38">IF(A14=A13,"",A14)</f>
        <v/>
      </c>
      <c r="X14" s="31" t="s">
        <v>49</v>
      </c>
      <c r="Y14" s="31" t="s">
        <v>26</v>
      </c>
      <c r="Z14" s="31" t="str">
        <f t="shared" si="32"/>
        <v>656.6' - 654.1'</v>
      </c>
      <c r="AA14" s="32">
        <f t="shared" ref="AA14:AA20" si="39">I14</f>
        <v>4.2656250000000007E-2</v>
      </c>
      <c r="AB14" s="32">
        <f t="shared" ref="AB14:AB20" si="40">P14</f>
        <v>4.5683657135932788E-2</v>
      </c>
      <c r="AC14" s="32">
        <f t="shared" ref="AC14:AC20" si="41">R14</f>
        <v>2.1873453306597415</v>
      </c>
      <c r="AD14" s="33">
        <f t="shared" ref="AD14:AD20" si="42">S14</f>
        <v>2.6317507743462265</v>
      </c>
    </row>
    <row r="15" spans="1:30" x14ac:dyDescent="0.3">
      <c r="A15" t="str">
        <f t="shared" si="1"/>
        <v>B-002-0-23</v>
      </c>
      <c r="B15" s="2">
        <f t="shared" ref="B15:B20" si="43">B14+1</f>
        <v>3</v>
      </c>
      <c r="C15" s="52">
        <f>D14</f>
        <v>654.1</v>
      </c>
      <c r="D15" s="52">
        <f>H23-8</f>
        <v>652.1</v>
      </c>
      <c r="E15" s="8">
        <f t="shared" si="33"/>
        <v>2</v>
      </c>
      <c r="F15" s="8">
        <f t="shared" ref="F15:F20" si="44">F14+E14</f>
        <v>6</v>
      </c>
      <c r="G15" s="45" t="s">
        <v>26</v>
      </c>
      <c r="H15" s="45" t="s">
        <v>6</v>
      </c>
      <c r="I15" s="56">
        <f>'Particle Size Interpolation'!L10</f>
        <v>6.3037974683544301E-2</v>
      </c>
      <c r="J15" s="47">
        <v>6</v>
      </c>
      <c r="K15" s="48">
        <v>0.75</v>
      </c>
      <c r="L15" s="55">
        <v>27</v>
      </c>
      <c r="M15" s="55">
        <f>100-'Particle Size Interpolation'!G10</f>
        <v>57</v>
      </c>
      <c r="N15" s="55">
        <v>7</v>
      </c>
      <c r="O15" s="2">
        <f t="shared" si="34"/>
        <v>1500</v>
      </c>
      <c r="P15" s="13">
        <f t="shared" si="19"/>
        <v>2.6187023543607732E-2</v>
      </c>
      <c r="Q15" s="13">
        <f t="shared" si="20"/>
        <v>1.2538414667973916</v>
      </c>
      <c r="R15" s="13">
        <f t="shared" si="35"/>
        <v>1.2538414667973916</v>
      </c>
      <c r="S15" s="13">
        <f>IF(H15="Cohesive",4.5-3/1.07^N15,1.2*(1.83333+LOG(I15)))</f>
        <v>2.6317507743462265</v>
      </c>
      <c r="T15" s="13">
        <f t="shared" si="36"/>
        <v>2.5039372381052374</v>
      </c>
      <c r="U15" s="79">
        <f t="shared" si="37"/>
        <v>-1.4655085762876805</v>
      </c>
      <c r="W15" s="35" t="str">
        <f t="shared" si="38"/>
        <v/>
      </c>
      <c r="X15" s="31" t="s">
        <v>48</v>
      </c>
      <c r="Y15" s="31" t="s">
        <v>26</v>
      </c>
      <c r="Z15" s="31" t="str">
        <f t="shared" si="32"/>
        <v>654.1' - 652.1'</v>
      </c>
      <c r="AA15" s="32">
        <f t="shared" si="39"/>
        <v>6.3037974683544301E-2</v>
      </c>
      <c r="AB15" s="32">
        <f t="shared" si="40"/>
        <v>2.6187023543607732E-2</v>
      </c>
      <c r="AC15" s="32">
        <f t="shared" si="41"/>
        <v>1.2538414667973916</v>
      </c>
      <c r="AD15" s="33">
        <f t="shared" si="42"/>
        <v>2.6317507743462265</v>
      </c>
    </row>
    <row r="16" spans="1:30" x14ac:dyDescent="0.3">
      <c r="A16" t="str">
        <f t="shared" si="1"/>
        <v>B-002-0-23</v>
      </c>
      <c r="B16" s="2">
        <f t="shared" si="43"/>
        <v>4</v>
      </c>
      <c r="C16" s="52">
        <f>D15</f>
        <v>652.1</v>
      </c>
      <c r="D16" s="52">
        <f>H23-9.5</f>
        <v>650.6</v>
      </c>
      <c r="E16" s="8">
        <f t="shared" si="33"/>
        <v>1.5</v>
      </c>
      <c r="F16" s="8">
        <f t="shared" si="44"/>
        <v>8</v>
      </c>
      <c r="G16" s="45" t="s">
        <v>26</v>
      </c>
      <c r="H16" s="45" t="s">
        <v>6</v>
      </c>
      <c r="I16" s="46">
        <v>0.1</v>
      </c>
      <c r="J16" s="47">
        <v>26</v>
      </c>
      <c r="K16" s="48"/>
      <c r="L16" s="47">
        <v>14</v>
      </c>
      <c r="M16" s="47">
        <v>41</v>
      </c>
      <c r="N16" s="55">
        <v>4</v>
      </c>
      <c r="O16" s="61">
        <f>2000</f>
        <v>2000</v>
      </c>
      <c r="P16" s="13">
        <f>IF(H16="Cohesive",0.01*(L16/M16)^-2*(N16/100)^1.3*O16^0.4,I16*0.020885434273039)</f>
        <v>2.7315026681650163E-2</v>
      </c>
      <c r="Q16" s="13">
        <f>IF(H16="Cohesive",P16/0.020885434273039,I16)</f>
        <v>1.3078505490743433</v>
      </c>
      <c r="R16" s="13">
        <f t="shared" si="35"/>
        <v>1.3078505490743433</v>
      </c>
      <c r="S16" s="13">
        <f>IF(H16="Cohesive",4.5-3/1.07^N16,1.2*(1.83333+LOG(I16)))</f>
        <v>2.2113143638574244</v>
      </c>
      <c r="T16" s="13">
        <f t="shared" si="36"/>
        <v>3.0366369268995381</v>
      </c>
      <c r="U16" s="79">
        <f t="shared" si="37"/>
        <v>-0.58682471895163069</v>
      </c>
      <c r="W16" s="35" t="str">
        <f t="shared" si="38"/>
        <v/>
      </c>
      <c r="X16" s="31" t="s">
        <v>51</v>
      </c>
      <c r="Y16" s="31" t="s">
        <v>26</v>
      </c>
      <c r="Z16" s="31" t="str">
        <f t="shared" si="32"/>
        <v>652.1' - 650.6'</v>
      </c>
      <c r="AA16" s="32">
        <f t="shared" si="39"/>
        <v>0.1</v>
      </c>
      <c r="AB16" s="32">
        <f t="shared" si="40"/>
        <v>2.7315026681650163E-2</v>
      </c>
      <c r="AC16" s="32">
        <f t="shared" si="41"/>
        <v>1.3078505490743433</v>
      </c>
      <c r="AD16" s="33">
        <f t="shared" si="42"/>
        <v>2.2113143638574244</v>
      </c>
    </row>
    <row r="17" spans="1:30" x14ac:dyDescent="0.3">
      <c r="A17" t="str">
        <f t="shared" si="1"/>
        <v>B-002-0-23</v>
      </c>
      <c r="B17" s="2">
        <f t="shared" si="43"/>
        <v>5</v>
      </c>
      <c r="C17" s="52">
        <f t="shared" ref="C17:C20" si="45">D16</f>
        <v>650.6</v>
      </c>
      <c r="D17" s="52">
        <f>H23-11</f>
        <v>649.1</v>
      </c>
      <c r="E17" s="8">
        <f t="shared" si="33"/>
        <v>1.5</v>
      </c>
      <c r="F17" s="8">
        <f t="shared" si="44"/>
        <v>9.5</v>
      </c>
      <c r="G17" s="45" t="s">
        <v>26</v>
      </c>
      <c r="H17" s="45" t="s">
        <v>6</v>
      </c>
      <c r="I17" s="46">
        <v>2.9000000000000001E-2</v>
      </c>
      <c r="J17" s="47">
        <v>7</v>
      </c>
      <c r="K17" s="48">
        <v>1.75</v>
      </c>
      <c r="L17" s="47">
        <v>23</v>
      </c>
      <c r="M17" s="47">
        <f>45+22</f>
        <v>67</v>
      </c>
      <c r="N17" s="47">
        <v>7</v>
      </c>
      <c r="O17" s="2">
        <f t="shared" si="34"/>
        <v>1750</v>
      </c>
      <c r="P17" s="13">
        <f t="shared" ref="P17:P20" si="46">IF(H17="Cohesive",0.01*(L17/M17)^-2*(N17/100)^1.3*O17^0.4,I17*0.020885434273039)</f>
        <v>5.3031828904884483E-2</v>
      </c>
      <c r="Q17" s="13">
        <f t="shared" ref="Q17:Q20" si="47">IF(H17="Cohesive",P17/0.020885434273039,I17)</f>
        <v>2.5391776973171805</v>
      </c>
      <c r="R17" s="13">
        <f t="shared" si="35"/>
        <v>2.5391776973171805</v>
      </c>
      <c r="S17" s="13">
        <f t="shared" ref="S17:S20" si="48">IF(H17="Cohesive",4.5-3/1.07^N17,1.2*(1.83333+LOG(I17)))</f>
        <v>2.6317507743462265</v>
      </c>
      <c r="T17" s="13">
        <f t="shared" si="36"/>
        <v>2.5039372381052374</v>
      </c>
      <c r="U17" s="79">
        <f t="shared" si="37"/>
        <v>-1.4655085762876805</v>
      </c>
      <c r="W17" s="35" t="str">
        <f t="shared" si="38"/>
        <v/>
      </c>
      <c r="X17" s="31" t="s">
        <v>52</v>
      </c>
      <c r="Y17" s="31" t="s">
        <v>26</v>
      </c>
      <c r="Z17" s="31" t="str">
        <f t="shared" si="32"/>
        <v>650.6' - 649.1'</v>
      </c>
      <c r="AA17" s="32">
        <f t="shared" si="39"/>
        <v>2.9000000000000001E-2</v>
      </c>
      <c r="AB17" s="32">
        <f t="shared" si="40"/>
        <v>5.3031828904884483E-2</v>
      </c>
      <c r="AC17" s="32">
        <f t="shared" si="41"/>
        <v>2.5391776973171805</v>
      </c>
      <c r="AD17" s="33">
        <f t="shared" si="42"/>
        <v>2.6317507743462265</v>
      </c>
    </row>
    <row r="18" spans="1:30" x14ac:dyDescent="0.3">
      <c r="A18" t="str">
        <f>A17</f>
        <v>B-002-0-23</v>
      </c>
      <c r="B18" s="2">
        <f>B17+1</f>
        <v>6</v>
      </c>
      <c r="C18" s="52">
        <f>D17</f>
        <v>649.1</v>
      </c>
      <c r="D18" s="52">
        <f>H23-12.5</f>
        <v>647.6</v>
      </c>
      <c r="E18" s="8">
        <f t="shared" si="33"/>
        <v>1.5</v>
      </c>
      <c r="F18" s="8">
        <f t="shared" si="44"/>
        <v>11</v>
      </c>
      <c r="G18" s="45" t="s">
        <v>26</v>
      </c>
      <c r="H18" s="45" t="s">
        <v>6</v>
      </c>
      <c r="I18" s="46">
        <v>3.1E-2</v>
      </c>
      <c r="J18" s="47">
        <v>7</v>
      </c>
      <c r="K18" s="48">
        <v>1.25</v>
      </c>
      <c r="L18" s="47">
        <v>25</v>
      </c>
      <c r="M18" s="47">
        <f>46+20</f>
        <v>66</v>
      </c>
      <c r="N18" s="47">
        <v>7</v>
      </c>
      <c r="O18" s="2">
        <f>MIN(J18*250,K18*2000)</f>
        <v>1750</v>
      </c>
      <c r="P18" s="13">
        <f t="shared" si="46"/>
        <v>4.3556254349536742E-2</v>
      </c>
      <c r="Q18" s="13">
        <f t="shared" si="47"/>
        <v>2.0854847344861533</v>
      </c>
      <c r="R18" s="13">
        <f t="shared" si="35"/>
        <v>2.0854847344861533</v>
      </c>
      <c r="S18" s="13">
        <f t="shared" si="48"/>
        <v>2.6317507743462265</v>
      </c>
      <c r="T18" s="13">
        <f t="shared" si="36"/>
        <v>2.5039372381052374</v>
      </c>
      <c r="U18" s="79">
        <f t="shared" si="37"/>
        <v>-1.4655085762876805</v>
      </c>
      <c r="W18" s="35" t="str">
        <f t="shared" si="38"/>
        <v/>
      </c>
      <c r="X18" s="31" t="s">
        <v>53</v>
      </c>
      <c r="Y18" s="31" t="s">
        <v>26</v>
      </c>
      <c r="Z18" s="31" t="str">
        <f t="shared" si="32"/>
        <v>649.1' - 647.6'</v>
      </c>
      <c r="AA18" s="32">
        <f t="shared" si="39"/>
        <v>3.1E-2</v>
      </c>
      <c r="AB18" s="32">
        <f t="shared" si="40"/>
        <v>4.3556254349536742E-2</v>
      </c>
      <c r="AC18" s="32">
        <f t="shared" si="41"/>
        <v>2.0854847344861533</v>
      </c>
      <c r="AD18" s="33">
        <f t="shared" si="42"/>
        <v>2.6317507743462265</v>
      </c>
    </row>
    <row r="19" spans="1:30" x14ac:dyDescent="0.3">
      <c r="A19" t="str">
        <f t="shared" si="1"/>
        <v>B-002-0-23</v>
      </c>
      <c r="B19" s="2">
        <f t="shared" si="43"/>
        <v>7</v>
      </c>
      <c r="C19" s="52">
        <f t="shared" si="45"/>
        <v>647.6</v>
      </c>
      <c r="D19" s="52">
        <f>H23-14</f>
        <v>646.1</v>
      </c>
      <c r="E19" s="8">
        <f t="shared" si="33"/>
        <v>1.5</v>
      </c>
      <c r="F19" s="8">
        <f t="shared" si="44"/>
        <v>12.5</v>
      </c>
      <c r="G19" s="45" t="s">
        <v>26</v>
      </c>
      <c r="H19" s="45" t="s">
        <v>6</v>
      </c>
      <c r="I19" s="46">
        <v>6.8000000000000005E-2</v>
      </c>
      <c r="J19" s="85">
        <v>1</v>
      </c>
      <c r="K19" s="48">
        <v>0.5</v>
      </c>
      <c r="L19" s="47">
        <v>26</v>
      </c>
      <c r="M19" s="47">
        <f>37+14</f>
        <v>51</v>
      </c>
      <c r="N19" s="47">
        <v>4</v>
      </c>
      <c r="O19" s="61">
        <f>MIN(J19*250,K19*2000)</f>
        <v>250</v>
      </c>
      <c r="P19" s="13">
        <f t="shared" si="46"/>
        <v>5.3339341332737777E-3</v>
      </c>
      <c r="Q19" s="13">
        <f t="shared" si="47"/>
        <v>0.25539014719743469</v>
      </c>
      <c r="R19" s="13">
        <f t="shared" si="35"/>
        <v>0.25539014719743469</v>
      </c>
      <c r="S19" s="13">
        <f t="shared" si="48"/>
        <v>2.2113143638574244</v>
      </c>
      <c r="T19" s="13">
        <f t="shared" si="36"/>
        <v>3.0366369268995381</v>
      </c>
      <c r="U19" s="79">
        <f t="shared" si="37"/>
        <v>-0.58682471895163069</v>
      </c>
      <c r="W19" s="35" t="str">
        <f t="shared" si="38"/>
        <v/>
      </c>
      <c r="X19" s="31" t="s">
        <v>54</v>
      </c>
      <c r="Y19" s="31" t="s">
        <v>26</v>
      </c>
      <c r="Z19" s="31" t="str">
        <f t="shared" si="32"/>
        <v>647.6' - 646.1'</v>
      </c>
      <c r="AA19" s="32">
        <f>I19</f>
        <v>6.8000000000000005E-2</v>
      </c>
      <c r="AB19" s="82">
        <f t="shared" si="40"/>
        <v>5.3339341332737777E-3</v>
      </c>
      <c r="AC19" s="82">
        <f t="shared" si="41"/>
        <v>0.25539014719743469</v>
      </c>
      <c r="AD19" s="33">
        <f t="shared" si="42"/>
        <v>2.2113143638574244</v>
      </c>
    </row>
    <row r="20" spans="1:30" x14ac:dyDescent="0.3">
      <c r="A20" s="7" t="str">
        <f t="shared" si="1"/>
        <v>B-002-0-23</v>
      </c>
      <c r="B20" s="39">
        <f t="shared" si="43"/>
        <v>8</v>
      </c>
      <c r="C20" s="53">
        <f t="shared" si="45"/>
        <v>646.1</v>
      </c>
      <c r="D20" s="53">
        <f>644.1</f>
        <v>644.1</v>
      </c>
      <c r="E20" s="12">
        <f t="shared" si="33"/>
        <v>2</v>
      </c>
      <c r="F20" s="12">
        <f t="shared" si="44"/>
        <v>14</v>
      </c>
      <c r="G20" s="49" t="s">
        <v>26</v>
      </c>
      <c r="H20" s="49" t="s">
        <v>6</v>
      </c>
      <c r="I20" s="68">
        <v>9.2999999999999999E-2</v>
      </c>
      <c r="J20" s="50">
        <v>3</v>
      </c>
      <c r="K20" s="60">
        <f>K19</f>
        <v>0.5</v>
      </c>
      <c r="L20" s="50">
        <v>27</v>
      </c>
      <c r="M20" s="50">
        <f>35+9</f>
        <v>44</v>
      </c>
      <c r="N20" s="63">
        <v>4</v>
      </c>
      <c r="O20" s="65">
        <f>MIN(J20*250,K20*2000)</f>
        <v>750</v>
      </c>
      <c r="P20" s="17">
        <f t="shared" si="46"/>
        <v>5.7132117240643529E-3</v>
      </c>
      <c r="Q20" s="17">
        <f t="shared" si="47"/>
        <v>0.27355005643524188</v>
      </c>
      <c r="R20" s="17">
        <f t="shared" si="35"/>
        <v>0.27355005643524188</v>
      </c>
      <c r="S20" s="17">
        <f t="shared" si="48"/>
        <v>2.2113143638574244</v>
      </c>
      <c r="T20" s="17">
        <f t="shared" si="36"/>
        <v>3.0366369268995381</v>
      </c>
      <c r="U20" s="80">
        <f t="shared" si="37"/>
        <v>-0.58682471895163069</v>
      </c>
      <c r="W20" s="36"/>
      <c r="X20" s="31" t="s">
        <v>50</v>
      </c>
      <c r="Y20" s="31" t="s">
        <v>26</v>
      </c>
      <c r="Z20" s="31" t="str">
        <f t="shared" si="32"/>
        <v>646.1' - 644.1'</v>
      </c>
      <c r="AA20" s="32">
        <f t="shared" si="39"/>
        <v>9.2999999999999999E-2</v>
      </c>
      <c r="AB20" s="32">
        <f t="shared" si="40"/>
        <v>5.7132117240643529E-3</v>
      </c>
      <c r="AC20" s="32">
        <f t="shared" si="41"/>
        <v>0.27355005643524188</v>
      </c>
      <c r="AD20" s="33">
        <f t="shared" si="42"/>
        <v>2.2113143638574244</v>
      </c>
    </row>
    <row r="22" spans="1:30" x14ac:dyDescent="0.3">
      <c r="C22" s="37" t="s">
        <v>45</v>
      </c>
      <c r="H22" s="2">
        <v>659.9</v>
      </c>
      <c r="I22" s="13" t="s">
        <v>46</v>
      </c>
    </row>
    <row r="23" spans="1:30" x14ac:dyDescent="0.3">
      <c r="B23" s="37"/>
      <c r="C23" s="37" t="s">
        <v>44</v>
      </c>
      <c r="D23" s="2"/>
      <c r="E23" s="13"/>
      <c r="F23" s="13"/>
      <c r="H23" s="8">
        <v>660.1</v>
      </c>
      <c r="I23" s="13" t="s">
        <v>46</v>
      </c>
    </row>
  </sheetData>
  <phoneticPr fontId="10" type="noConversion"/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8CDB7-E433-4A33-AC81-53FF12778814}">
  <dimension ref="A1:A3"/>
  <sheetViews>
    <sheetView workbookViewId="0">
      <selection activeCell="H10" sqref="H10"/>
    </sheetView>
  </sheetViews>
  <sheetFormatPr defaultRowHeight="14.4" x14ac:dyDescent="0.3"/>
  <sheetData>
    <row r="1" spans="1:1" x14ac:dyDescent="0.3">
      <c r="A1" t="s">
        <v>41</v>
      </c>
    </row>
    <row r="3" spans="1:1" x14ac:dyDescent="0.3">
      <c r="A3" t="s">
        <v>42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0979C-1AA5-43C0-B281-3AB105AD4A34}">
  <dimension ref="A1:W11"/>
  <sheetViews>
    <sheetView workbookViewId="0">
      <selection activeCell="L11" sqref="L11"/>
    </sheetView>
  </sheetViews>
  <sheetFormatPr defaultRowHeight="14.4" x14ac:dyDescent="0.3"/>
  <cols>
    <col min="1" max="1" width="13.5546875" customWidth="1"/>
    <col min="3" max="3" width="15.33203125" customWidth="1"/>
    <col min="21" max="21" width="14.44140625" customWidth="1"/>
    <col min="22" max="22" width="16" customWidth="1"/>
  </cols>
  <sheetData>
    <row r="1" spans="1:23" x14ac:dyDescent="0.3">
      <c r="A1" s="1" t="s">
        <v>58</v>
      </c>
      <c r="D1" t="s">
        <v>66</v>
      </c>
      <c r="E1" t="s">
        <v>67</v>
      </c>
      <c r="F1" t="s">
        <v>68</v>
      </c>
      <c r="G1" t="s">
        <v>75</v>
      </c>
      <c r="H1" t="s">
        <v>70</v>
      </c>
      <c r="I1" t="s">
        <v>69</v>
      </c>
      <c r="U1" t="s">
        <v>72</v>
      </c>
      <c r="V1" t="s">
        <v>73</v>
      </c>
      <c r="W1" t="s">
        <v>74</v>
      </c>
    </row>
    <row r="2" spans="1:23" x14ac:dyDescent="0.3">
      <c r="A2" t="s">
        <v>40</v>
      </c>
      <c r="B2" t="s">
        <v>47</v>
      </c>
      <c r="C2" t="s">
        <v>63</v>
      </c>
      <c r="D2">
        <v>1</v>
      </c>
      <c r="E2">
        <v>6</v>
      </c>
      <c r="F2">
        <v>47</v>
      </c>
      <c r="G2">
        <f>SUM(D2:F2)</f>
        <v>54</v>
      </c>
      <c r="H2">
        <v>31</v>
      </c>
      <c r="I2">
        <v>15</v>
      </c>
      <c r="J2">
        <f>SUM(G2:I2)</f>
        <v>100</v>
      </c>
      <c r="L2">
        <f>(G2-50)/47*(U4-V4)+V4</f>
        <v>0.10904255319148935</v>
      </c>
      <c r="T2" t="s">
        <v>66</v>
      </c>
      <c r="U2">
        <v>19</v>
      </c>
      <c r="V2">
        <v>4.75</v>
      </c>
      <c r="W2">
        <f>AVERAGE(U2:V2)</f>
        <v>11.875</v>
      </c>
    </row>
    <row r="3" spans="1:23" x14ac:dyDescent="0.3">
      <c r="A3" t="s">
        <v>60</v>
      </c>
      <c r="B3" t="s">
        <v>49</v>
      </c>
      <c r="C3" t="s">
        <v>64</v>
      </c>
      <c r="D3">
        <v>2</v>
      </c>
      <c r="E3">
        <v>3</v>
      </c>
      <c r="F3">
        <v>23</v>
      </c>
      <c r="G3">
        <f t="shared" ref="G3:G8" si="0">SUM(D3:F3)</f>
        <v>28</v>
      </c>
      <c r="H3">
        <v>45</v>
      </c>
      <c r="I3">
        <v>27</v>
      </c>
      <c r="J3">
        <f t="shared" ref="J3:J8" si="1">SUM(G3:I3)</f>
        <v>100</v>
      </c>
      <c r="L3">
        <f>(H4)/H3*(U5-V5)+V5</f>
        <v>4.2000000000000003E-2</v>
      </c>
      <c r="T3" t="s">
        <v>67</v>
      </c>
      <c r="U3">
        <v>4.75</v>
      </c>
      <c r="V3">
        <v>0.47499999999999998</v>
      </c>
      <c r="W3">
        <f t="shared" ref="W3:W7" si="2">AVERAGE(U3:V3)</f>
        <v>2.6124999999999998</v>
      </c>
    </row>
    <row r="4" spans="1:23" x14ac:dyDescent="0.3">
      <c r="H4">
        <v>23</v>
      </c>
      <c r="T4" t="s">
        <v>68</v>
      </c>
      <c r="U4">
        <v>0.47499999999999998</v>
      </c>
      <c r="V4">
        <v>7.4999999999999997E-2</v>
      </c>
      <c r="W4">
        <f>AVERAGE(U4:V4)</f>
        <v>0.27499999999999997</v>
      </c>
    </row>
    <row r="5" spans="1:23" x14ac:dyDescent="0.3">
      <c r="A5" t="s">
        <v>60</v>
      </c>
      <c r="B5" t="s">
        <v>48</v>
      </c>
      <c r="C5" t="s">
        <v>65</v>
      </c>
      <c r="G5">
        <f>100-(H5+I5)</f>
        <v>43.5</v>
      </c>
      <c r="H5">
        <f>AVERAGE(45,25)</f>
        <v>35</v>
      </c>
      <c r="I5">
        <f>AVERAGE(27,16)</f>
        <v>21.5</v>
      </c>
      <c r="L5">
        <f>(H6)/H5*(U5-V5)+V5</f>
        <v>6.2464285714285715E-2</v>
      </c>
      <c r="T5" t="s">
        <v>70</v>
      </c>
      <c r="U5">
        <v>7.4999999999999997E-2</v>
      </c>
      <c r="V5">
        <v>7.4999999999999997E-3</v>
      </c>
      <c r="W5">
        <f>AVERAGE(U5:V5)</f>
        <v>4.1249999999999995E-2</v>
      </c>
    </row>
    <row r="6" spans="1:23" x14ac:dyDescent="0.3">
      <c r="H6">
        <f>H5-(H5+I5-50)</f>
        <v>28.5</v>
      </c>
      <c r="T6" t="s">
        <v>69</v>
      </c>
      <c r="U6">
        <v>7.4999999999999997E-3</v>
      </c>
      <c r="V6">
        <v>4.0000000000000001E-3</v>
      </c>
      <c r="W6">
        <f>AVERAGE(U6:V6)</f>
        <v>5.7499999999999999E-3</v>
      </c>
    </row>
    <row r="7" spans="1:23" x14ac:dyDescent="0.3">
      <c r="A7" t="s">
        <v>43</v>
      </c>
      <c r="B7" t="s">
        <v>47</v>
      </c>
      <c r="C7" t="s">
        <v>59</v>
      </c>
      <c r="D7">
        <v>40</v>
      </c>
      <c r="E7">
        <v>12</v>
      </c>
      <c r="F7">
        <v>19</v>
      </c>
      <c r="G7">
        <f t="shared" si="0"/>
        <v>71</v>
      </c>
      <c r="H7">
        <v>22</v>
      </c>
      <c r="I7">
        <v>7</v>
      </c>
      <c r="J7">
        <f t="shared" si="1"/>
        <v>100</v>
      </c>
      <c r="L7" t="s">
        <v>71</v>
      </c>
    </row>
    <row r="8" spans="1:23" x14ac:dyDescent="0.3">
      <c r="A8" t="s">
        <v>60</v>
      </c>
      <c r="B8" t="s">
        <v>49</v>
      </c>
      <c r="C8" t="s">
        <v>61</v>
      </c>
      <c r="D8">
        <v>1</v>
      </c>
      <c r="E8">
        <v>1</v>
      </c>
      <c r="F8">
        <v>25</v>
      </c>
      <c r="G8">
        <f t="shared" si="0"/>
        <v>27</v>
      </c>
      <c r="H8">
        <v>48</v>
      </c>
      <c r="I8">
        <v>25</v>
      </c>
      <c r="J8">
        <f t="shared" si="1"/>
        <v>100</v>
      </c>
    </row>
    <row r="9" spans="1:23" x14ac:dyDescent="0.3">
      <c r="H9">
        <f>50-I8</f>
        <v>25</v>
      </c>
      <c r="L9">
        <f>(H9)/H8*(U5-V5)+V5</f>
        <v>4.2656250000000007E-2</v>
      </c>
    </row>
    <row r="10" spans="1:23" x14ac:dyDescent="0.3">
      <c r="A10" t="s">
        <v>60</v>
      </c>
      <c r="B10" t="s">
        <v>48</v>
      </c>
      <c r="C10" t="s">
        <v>62</v>
      </c>
      <c r="G10">
        <f>100-SUM(H10:J10)</f>
        <v>43</v>
      </c>
      <c r="H10">
        <f>AVERAGE(48,31)</f>
        <v>39.5</v>
      </c>
      <c r="I10">
        <f>AVERAGE(25,10)</f>
        <v>17.5</v>
      </c>
      <c r="L10">
        <f>(H11)/H10*(U5-V5)+V5</f>
        <v>6.3037974683544301E-2</v>
      </c>
    </row>
    <row r="11" spans="1:23" x14ac:dyDescent="0.3">
      <c r="H11">
        <f>H10-(H10+I10-50)</f>
        <v>32.5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lication xmlns="71ea4d20-2f94-44bc-a7a5-2fdb2b42bcc9">Scour</Application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617B982CC17F45B3DEA5C96B7F7DB2" ma:contentTypeVersion="2" ma:contentTypeDescription="Create a new document." ma:contentTypeScope="" ma:versionID="7133e330d870def47ac68595a67c4364">
  <xsd:schema xmlns:xsd="http://www.w3.org/2001/XMLSchema" xmlns:xs="http://www.w3.org/2001/XMLSchema" xmlns:p="http://schemas.microsoft.com/office/2006/metadata/properties" xmlns:ns2="71ea4d20-2f94-44bc-a7a5-2fdb2b42bcc9" xmlns:ns3="2cfc50fe-988a-4787-b24b-685a9b179229" targetNamespace="http://schemas.microsoft.com/office/2006/metadata/properties" ma:root="true" ma:fieldsID="1a351d5eebb2fddcbd78b30138590049" ns2:_="" ns3:_="">
    <xsd:import namespace="71ea4d20-2f94-44bc-a7a5-2fdb2b42bcc9"/>
    <xsd:import namespace="2cfc50fe-988a-4787-b24b-685a9b179229"/>
    <xsd:element name="properties">
      <xsd:complexType>
        <xsd:sequence>
          <xsd:element name="documentManagement">
            <xsd:complexType>
              <xsd:all>
                <xsd:element ref="ns2:Application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a4d20-2f94-44bc-a7a5-2fdb2b42bcc9" elementFormDefault="qualified">
    <xsd:import namespace="http://schemas.microsoft.com/office/2006/documentManagement/types"/>
    <xsd:import namespace="http://schemas.microsoft.com/office/infopath/2007/PartnerControls"/>
    <xsd:element name="Application" ma:index="8" ma:displayName="Application" ma:description="Application Type for this Spreadsheet" ma:format="Dropdown" ma:internalName="Application">
      <xsd:simpleType>
        <xsd:restriction base="dms:Choice">
          <xsd:enumeration value="(ASD) Box Culvert"/>
          <xsd:enumeration value="(ASD) Headwalls/Wingwalls"/>
          <xsd:enumeration value="(ASD) Spread Footing"/>
          <xsd:enumeration value="(ASD) Steel Beam Analysis"/>
          <xsd:enumeration value="(LRFD) Drilled Shaft Foundations"/>
          <xsd:enumeration value="(LRFD) Driven Pile Foundations"/>
          <xsd:enumeration value="(LRFD) Drilled Shaft Walls"/>
          <xsd:enumeration value="(LRFD) Gravity Walls"/>
          <xsd:enumeration value="(LRFD) Reinforced Soil Slope"/>
          <xsd:enumeration value="(LRFD) Spread Footing"/>
          <xsd:enumeration value="(LRFD) Tieback Anchor Walls"/>
          <xsd:enumeration value="Drilled Shaft Reinforcement"/>
          <xsd:enumeration value="Drilled Shaft Wall Loading"/>
          <xsd:enumeration value="Drilled Shaft Wall Resistance"/>
          <xsd:enumeration value="Driven Piles"/>
          <xsd:enumeration value="Earth Pressure"/>
          <xsd:enumeration value="Liang Analysis"/>
          <xsd:enumeration value="LPILE Analysis"/>
          <xsd:enumeration value="MSE Walls"/>
          <xsd:enumeration value="Retaining Wall Costs"/>
          <xsd:enumeration value="Rockfall"/>
          <xsd:enumeration value="Scour"/>
          <xsd:enumeration value="Settlement"/>
          <xsd:enumeration value="Sheetpile"/>
          <xsd:enumeration value="Soil Classification"/>
          <xsd:enumeration value="Soil Strength"/>
          <xsd:enumeration value="Subgrade Resiliant Modulu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fc50fe-988a-4787-b24b-685a9b179229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3691E5-1BE7-4A3E-B6BB-0487ADD534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30C690-A48C-4C25-8B87-F0A14514D970}">
  <ds:schemaRefs>
    <ds:schemaRef ds:uri="http://schemas.microsoft.com/office/2006/metadata/properties"/>
    <ds:schemaRef ds:uri="http://schemas.microsoft.com/office/infopath/2007/PartnerControls"/>
    <ds:schemaRef ds:uri="71ea4d20-2f94-44bc-a7a5-2fdb2b42bcc9"/>
  </ds:schemaRefs>
</ds:datastoreItem>
</file>

<file path=customXml/itemProps3.xml><?xml version="1.0" encoding="utf-8"?>
<ds:datastoreItem xmlns:ds="http://schemas.openxmlformats.org/officeDocument/2006/customXml" ds:itemID="{79CF3722-E33F-4FEE-B9DC-65089A0F0D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a4d20-2f94-44bc-a7a5-2fdb2b42bcc9"/>
    <ds:schemaRef ds:uri="2cfc50fe-988a-4787-b24b-685a9b1792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Calculations - No Cohesion</vt:lpstr>
      <vt:lpstr>Calculations - Cohesion</vt:lpstr>
      <vt:lpstr>Design Notes</vt:lpstr>
      <vt:lpstr>Particle Size Interpolation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Scour Soil Properties and Scour Samples Table</dc:title>
  <dc:creator>Alexander Dettloff</dc:creator>
  <cp:lastModifiedBy>Hurst, Matthew</cp:lastModifiedBy>
  <dcterms:created xsi:type="dcterms:W3CDTF">2022-11-30T17:36:25Z</dcterms:created>
  <dcterms:modified xsi:type="dcterms:W3CDTF">2024-11-19T16:17:09Z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0x01010024617B982CC17F45B3DEA5C96B7F7DB2</vt:lpwstr>
  </property>
</Properties>
</file>